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"/>
    </mc:Choice>
  </mc:AlternateContent>
  <bookViews>
    <workbookView xWindow="0" yWindow="0" windowWidth="23040" windowHeight="9192" firstSheet="1" activeTab="3"/>
  </bookViews>
  <sheets>
    <sheet name="Sheet 1" sheetId="1" state="hidden" r:id="rId1"/>
    <sheet name="2016" sheetId="2" r:id="rId2"/>
    <sheet name="2017" sheetId="11" r:id="rId3"/>
    <sheet name="2018" sheetId="12" r:id="rId4"/>
    <sheet name="2019" sheetId="13" r:id="rId5"/>
    <sheet name="Sheet1 (2)" sheetId="4" state="hidden" r:id="rId6"/>
    <sheet name="Sheet1 (3)" sheetId="5" state="hidden" r:id="rId7"/>
    <sheet name="Sheet2" sheetId="3" state="hidden" r:id="rId8"/>
    <sheet name="Lori" sheetId="7" state="hidden" r:id="rId9"/>
    <sheet name="Sheet3" sheetId="8" state="hidden" r:id="rId10"/>
    <sheet name="Sheet3 (2)" sheetId="10" state="hidden" r:id="rId11"/>
  </sheets>
  <calcPr calcId="162913"/>
</workbook>
</file>

<file path=xl/calcChain.xml><?xml version="1.0" encoding="utf-8"?>
<calcChain xmlns="http://schemas.openxmlformats.org/spreadsheetml/2006/main">
  <c r="O128" i="13" l="1"/>
  <c r="O127" i="13"/>
  <c r="O126" i="13"/>
  <c r="R126" i="13"/>
  <c r="O125" i="13"/>
  <c r="O124" i="13"/>
  <c r="O123" i="13"/>
  <c r="R123" i="13"/>
  <c r="O122" i="13"/>
  <c r="O121" i="13"/>
  <c r="O120" i="13"/>
  <c r="R120" i="13"/>
  <c r="O119" i="13"/>
  <c r="O118" i="13"/>
  <c r="O117" i="13"/>
  <c r="R117" i="13"/>
  <c r="O116" i="13"/>
  <c r="O115" i="13"/>
  <c r="O114" i="13"/>
  <c r="R114" i="13"/>
  <c r="O113" i="13"/>
  <c r="O112" i="13"/>
  <c r="O111" i="13"/>
  <c r="R111" i="13"/>
  <c r="O110" i="13"/>
  <c r="O109" i="13"/>
  <c r="O108" i="13"/>
  <c r="R108" i="13"/>
  <c r="O107" i="13"/>
  <c r="O106" i="13"/>
  <c r="O105" i="13"/>
  <c r="R105" i="13"/>
  <c r="O104" i="13"/>
  <c r="O103" i="13"/>
  <c r="O102" i="13"/>
  <c r="R102" i="13"/>
  <c r="O101" i="13"/>
  <c r="O100" i="13"/>
  <c r="O99" i="13"/>
  <c r="R99" i="13"/>
  <c r="O97" i="13"/>
  <c r="O96" i="13"/>
  <c r="O94" i="13"/>
  <c r="O93" i="13"/>
  <c r="R93" i="13"/>
  <c r="S93" i="13"/>
  <c r="O91" i="13"/>
  <c r="O90" i="13"/>
  <c r="O89" i="13"/>
  <c r="R89" i="13"/>
  <c r="S89" i="13"/>
  <c r="O88" i="13"/>
  <c r="O87" i="13"/>
  <c r="O86" i="13"/>
  <c r="R86" i="13"/>
  <c r="S86" i="13"/>
  <c r="O85" i="13"/>
  <c r="O84" i="13"/>
  <c r="O83" i="13"/>
  <c r="R83" i="13"/>
  <c r="S83" i="13"/>
  <c r="O81" i="13"/>
  <c r="O80" i="13"/>
  <c r="O79" i="13"/>
  <c r="R79" i="13"/>
  <c r="S79" i="13"/>
  <c r="O77" i="13"/>
  <c r="O76" i="13"/>
  <c r="R76" i="13"/>
  <c r="S76" i="13"/>
  <c r="O75" i="13"/>
  <c r="O74" i="13"/>
  <c r="R74" i="13"/>
  <c r="S74" i="13"/>
  <c r="O73" i="13"/>
  <c r="O72" i="13"/>
  <c r="R72" i="13"/>
  <c r="S72" i="13"/>
  <c r="O71" i="13"/>
  <c r="O70" i="13"/>
  <c r="R70" i="13"/>
  <c r="S70" i="13"/>
  <c r="O69" i="13"/>
  <c r="O68" i="13"/>
  <c r="R68" i="13"/>
  <c r="O67" i="13"/>
  <c r="O66" i="13"/>
  <c r="R66" i="13"/>
  <c r="O65" i="13"/>
  <c r="O64" i="13"/>
  <c r="R64" i="13"/>
  <c r="S64" i="13"/>
  <c r="O63" i="13"/>
  <c r="O62" i="13"/>
  <c r="R62" i="13"/>
  <c r="S62" i="13"/>
  <c r="O61" i="13"/>
  <c r="O60" i="13"/>
  <c r="O59" i="13"/>
  <c r="R59" i="13"/>
  <c r="S59" i="13"/>
  <c r="O58" i="13"/>
  <c r="O57" i="13"/>
  <c r="R57" i="13"/>
  <c r="O56" i="13"/>
  <c r="O55" i="13"/>
  <c r="R55" i="13"/>
  <c r="O54" i="13"/>
  <c r="R53" i="13"/>
  <c r="O53" i="13"/>
  <c r="O52" i="13"/>
  <c r="O51" i="13"/>
  <c r="R51" i="13"/>
  <c r="S51" i="13"/>
  <c r="O50" i="13"/>
  <c r="O48" i="13"/>
  <c r="R48" i="13"/>
  <c r="S48" i="13"/>
  <c r="O49" i="13"/>
  <c r="O47" i="13"/>
  <c r="O46" i="13"/>
  <c r="R46" i="13"/>
  <c r="S46" i="13"/>
  <c r="O44" i="13"/>
  <c r="O43" i="13"/>
  <c r="O42" i="13"/>
  <c r="R42" i="13"/>
  <c r="O41" i="13"/>
  <c r="O40" i="13"/>
  <c r="O39" i="13"/>
  <c r="R39" i="13"/>
  <c r="S39" i="13"/>
  <c r="O38" i="13"/>
  <c r="O37" i="13"/>
  <c r="R37" i="13"/>
  <c r="S37" i="13"/>
  <c r="O36" i="13"/>
  <c r="O35" i="13"/>
  <c r="O34" i="13"/>
  <c r="R34" i="13"/>
  <c r="O33" i="13"/>
  <c r="O32" i="13"/>
  <c r="O31" i="13"/>
  <c r="R31" i="13"/>
  <c r="O30" i="13"/>
  <c r="O29" i="13"/>
  <c r="R29" i="13"/>
  <c r="S29" i="13"/>
  <c r="O28" i="13"/>
  <c r="O27" i="13"/>
  <c r="R27" i="13"/>
  <c r="O26" i="13"/>
  <c r="O25" i="13"/>
  <c r="R25" i="13"/>
  <c r="S25" i="13"/>
  <c r="O24" i="13"/>
  <c r="R23" i="13"/>
  <c r="O23" i="13"/>
  <c r="O22" i="13"/>
  <c r="O21" i="13"/>
  <c r="R21" i="13"/>
  <c r="O20" i="13"/>
  <c r="O19" i="13"/>
  <c r="O18" i="13"/>
  <c r="R18" i="13"/>
  <c r="S18" i="13"/>
  <c r="O17" i="13"/>
  <c r="O16" i="13"/>
  <c r="R16" i="13"/>
  <c r="S16" i="13"/>
  <c r="O14" i="13"/>
  <c r="O13" i="13"/>
  <c r="O12" i="13"/>
  <c r="O11" i="13"/>
  <c r="O10" i="13"/>
  <c r="O8" i="13"/>
  <c r="R8" i="13"/>
  <c r="S8" i="13"/>
  <c r="O9" i="13"/>
  <c r="N8" i="13"/>
  <c r="M8" i="13"/>
  <c r="L8" i="13"/>
  <c r="K8" i="13"/>
  <c r="J8" i="13"/>
  <c r="I8" i="13"/>
  <c r="H8" i="13"/>
  <c r="G8" i="13"/>
  <c r="F8" i="13"/>
  <c r="O128" i="12"/>
  <c r="O127" i="12"/>
  <c r="O126" i="12"/>
  <c r="R126" i="12"/>
  <c r="O125" i="12"/>
  <c r="O124" i="12"/>
  <c r="O123" i="12"/>
  <c r="R123" i="12"/>
  <c r="O122" i="12"/>
  <c r="O121" i="12"/>
  <c r="O120" i="12"/>
  <c r="R120" i="12"/>
  <c r="O119" i="12"/>
  <c r="O118" i="12"/>
  <c r="O117" i="12"/>
  <c r="R117" i="12"/>
  <c r="O116" i="12"/>
  <c r="O115" i="12"/>
  <c r="O114" i="12"/>
  <c r="R114" i="12"/>
  <c r="O113" i="12"/>
  <c r="O112" i="12"/>
  <c r="O111" i="12"/>
  <c r="R111" i="12"/>
  <c r="O110" i="12"/>
  <c r="O109" i="12"/>
  <c r="O108" i="12"/>
  <c r="R108" i="12"/>
  <c r="O107" i="12"/>
  <c r="O106" i="12"/>
  <c r="O105" i="12"/>
  <c r="R105" i="12"/>
  <c r="O104" i="12"/>
  <c r="O103" i="12"/>
  <c r="O102" i="12"/>
  <c r="R102" i="12"/>
  <c r="O101" i="12"/>
  <c r="O100" i="12"/>
  <c r="O99" i="12"/>
  <c r="R99" i="12"/>
  <c r="O97" i="12"/>
  <c r="O96" i="12"/>
  <c r="R96" i="12"/>
  <c r="Q95" i="12"/>
  <c r="P95" i="12"/>
  <c r="O95" i="12"/>
  <c r="O94" i="12"/>
  <c r="O93" i="12"/>
  <c r="R93" i="12"/>
  <c r="Q92" i="12"/>
  <c r="P92" i="12"/>
  <c r="O92" i="12"/>
  <c r="O91" i="12"/>
  <c r="O90" i="12"/>
  <c r="O89" i="12"/>
  <c r="R89" i="12"/>
  <c r="S89" i="12"/>
  <c r="O88" i="12"/>
  <c r="O87" i="12"/>
  <c r="R87" i="12"/>
  <c r="O85" i="12"/>
  <c r="O84" i="12"/>
  <c r="O83" i="12"/>
  <c r="R83" i="12"/>
  <c r="S83" i="12"/>
  <c r="Q82" i="12"/>
  <c r="P82" i="12"/>
  <c r="O81" i="12"/>
  <c r="O80" i="12"/>
  <c r="O79" i="12"/>
  <c r="Q78" i="12"/>
  <c r="P78" i="12"/>
  <c r="O77" i="12"/>
  <c r="O76" i="12"/>
  <c r="R76" i="12"/>
  <c r="S76" i="12"/>
  <c r="O75" i="12"/>
  <c r="O74" i="12"/>
  <c r="R74" i="12"/>
  <c r="S74" i="12"/>
  <c r="O73" i="12"/>
  <c r="O72" i="12"/>
  <c r="R72" i="12"/>
  <c r="S72" i="12"/>
  <c r="O71" i="12"/>
  <c r="O70" i="12"/>
  <c r="R70" i="12"/>
  <c r="S70" i="12"/>
  <c r="O69" i="12"/>
  <c r="O68" i="12"/>
  <c r="R68" i="12"/>
  <c r="O67" i="12"/>
  <c r="O66" i="12"/>
  <c r="R66" i="12"/>
  <c r="O65" i="12"/>
  <c r="O64" i="12"/>
  <c r="R64" i="12"/>
  <c r="S64" i="12"/>
  <c r="Q64" i="12"/>
  <c r="P64" i="12"/>
  <c r="O63" i="12"/>
  <c r="O62" i="12"/>
  <c r="R62" i="12"/>
  <c r="S62" i="12"/>
  <c r="O61" i="12"/>
  <c r="O59" i="12"/>
  <c r="R59" i="12"/>
  <c r="S59" i="12"/>
  <c r="O60" i="12"/>
  <c r="O58" i="12"/>
  <c r="R57" i="12"/>
  <c r="O57" i="12"/>
  <c r="O56" i="12"/>
  <c r="O55" i="12"/>
  <c r="R55" i="12"/>
  <c r="O54" i="12"/>
  <c r="O53" i="12"/>
  <c r="R53" i="12"/>
  <c r="O52" i="12"/>
  <c r="O51" i="12"/>
  <c r="R51" i="12"/>
  <c r="S51" i="12"/>
  <c r="O50" i="12"/>
  <c r="O49" i="12"/>
  <c r="O48" i="12"/>
  <c r="R48" i="12"/>
  <c r="S48" i="12"/>
  <c r="O47" i="12"/>
  <c r="O46" i="12"/>
  <c r="Q45" i="12"/>
  <c r="P45" i="12"/>
  <c r="O44" i="12"/>
  <c r="O43" i="12"/>
  <c r="O42" i="12"/>
  <c r="R42" i="12"/>
  <c r="O41" i="12"/>
  <c r="O40" i="12"/>
  <c r="O39" i="12"/>
  <c r="R39" i="12"/>
  <c r="S39" i="12"/>
  <c r="O38" i="12"/>
  <c r="O37" i="12"/>
  <c r="R37" i="12"/>
  <c r="S37" i="12"/>
  <c r="O36" i="12"/>
  <c r="O35" i="12"/>
  <c r="O34" i="12"/>
  <c r="R34" i="12"/>
  <c r="O33" i="12"/>
  <c r="O32" i="12"/>
  <c r="O31" i="12"/>
  <c r="R31" i="12"/>
  <c r="O30" i="12"/>
  <c r="O29" i="12"/>
  <c r="R29" i="12"/>
  <c r="S29" i="12"/>
  <c r="O28" i="12"/>
  <c r="O27" i="12"/>
  <c r="R27" i="12"/>
  <c r="O26" i="12"/>
  <c r="O25" i="12"/>
  <c r="R25" i="12"/>
  <c r="O24" i="12"/>
  <c r="O23" i="12"/>
  <c r="R23" i="12"/>
  <c r="S23" i="12"/>
  <c r="O22" i="12"/>
  <c r="O21" i="12"/>
  <c r="R21" i="12"/>
  <c r="S21" i="12"/>
  <c r="O20" i="12"/>
  <c r="O19" i="12"/>
  <c r="O18" i="12"/>
  <c r="R18" i="12"/>
  <c r="S18" i="12"/>
  <c r="O17" i="12"/>
  <c r="O16" i="12"/>
  <c r="Q15" i="12"/>
  <c r="P15" i="12"/>
  <c r="O14" i="12"/>
  <c r="O13" i="12"/>
  <c r="O12" i="12"/>
  <c r="O11" i="12"/>
  <c r="O10" i="12"/>
  <c r="O9" i="12"/>
  <c r="O8" i="12"/>
  <c r="R8" i="12"/>
  <c r="S8" i="12"/>
  <c r="N8" i="12"/>
  <c r="M8" i="12"/>
  <c r="L8" i="12"/>
  <c r="K8" i="12"/>
  <c r="J8" i="12"/>
  <c r="I8" i="12"/>
  <c r="H8" i="12"/>
  <c r="G8" i="12"/>
  <c r="F8" i="12"/>
  <c r="O128" i="11"/>
  <c r="O127" i="11"/>
  <c r="O126" i="11"/>
  <c r="R126" i="11"/>
  <c r="O125" i="11"/>
  <c r="O124" i="11"/>
  <c r="O123" i="11"/>
  <c r="R123" i="11"/>
  <c r="O122" i="11"/>
  <c r="O121" i="11"/>
  <c r="O120" i="11"/>
  <c r="R120" i="11"/>
  <c r="O119" i="11"/>
  <c r="O118" i="11"/>
  <c r="O117" i="11"/>
  <c r="R117" i="11"/>
  <c r="O116" i="11"/>
  <c r="O115" i="11"/>
  <c r="O114" i="11"/>
  <c r="R114" i="11"/>
  <c r="O113" i="11"/>
  <c r="O112" i="11"/>
  <c r="O111" i="11"/>
  <c r="R111" i="11"/>
  <c r="O110" i="11"/>
  <c r="O109" i="11"/>
  <c r="O108" i="11"/>
  <c r="R108" i="11"/>
  <c r="O107" i="11"/>
  <c r="O106" i="11"/>
  <c r="O105" i="11"/>
  <c r="R105" i="11"/>
  <c r="O104" i="11"/>
  <c r="O103" i="11"/>
  <c r="O102" i="11"/>
  <c r="R102" i="11"/>
  <c r="O101" i="11"/>
  <c r="O100" i="11"/>
  <c r="O99" i="11"/>
  <c r="R99" i="11"/>
  <c r="R98" i="11"/>
  <c r="O97" i="11"/>
  <c r="O96" i="11"/>
  <c r="Q95" i="11"/>
  <c r="P95" i="11"/>
  <c r="O94" i="11"/>
  <c r="O93" i="11"/>
  <c r="R93" i="11"/>
  <c r="R92" i="11"/>
  <c r="Q92" i="11"/>
  <c r="P92" i="11"/>
  <c r="O92" i="11"/>
  <c r="O91" i="11"/>
  <c r="O90" i="11"/>
  <c r="O89" i="11"/>
  <c r="R89" i="11"/>
  <c r="O88" i="11"/>
  <c r="O87" i="11"/>
  <c r="O86" i="11"/>
  <c r="R86" i="11"/>
  <c r="O85" i="11"/>
  <c r="O84" i="11"/>
  <c r="O83" i="11"/>
  <c r="R83" i="11"/>
  <c r="Q82" i="11"/>
  <c r="P82" i="11"/>
  <c r="O81" i="11"/>
  <c r="O80" i="11"/>
  <c r="O79" i="11"/>
  <c r="R79" i="11"/>
  <c r="R78" i="11"/>
  <c r="Q78" i="11"/>
  <c r="P78" i="11"/>
  <c r="O77" i="11"/>
  <c r="O76" i="11"/>
  <c r="R76" i="11"/>
  <c r="O75" i="11"/>
  <c r="O74" i="11"/>
  <c r="R74" i="11"/>
  <c r="O73" i="11"/>
  <c r="O72" i="11"/>
  <c r="R72" i="11"/>
  <c r="O71" i="11"/>
  <c r="R70" i="11"/>
  <c r="O70" i="11"/>
  <c r="O69" i="11"/>
  <c r="O68" i="11"/>
  <c r="R68" i="11"/>
  <c r="O67" i="11"/>
  <c r="O66" i="11"/>
  <c r="R66" i="11"/>
  <c r="O65" i="11"/>
  <c r="O64" i="11"/>
  <c r="R64" i="11"/>
  <c r="O63" i="11"/>
  <c r="R62" i="11"/>
  <c r="O62" i="11"/>
  <c r="O61" i="11"/>
  <c r="O60" i="11"/>
  <c r="O59" i="11"/>
  <c r="R59" i="11"/>
  <c r="O58" i="11"/>
  <c r="O57" i="11"/>
  <c r="R57" i="11"/>
  <c r="O56" i="11"/>
  <c r="O55" i="11"/>
  <c r="R55" i="11"/>
  <c r="O54" i="11"/>
  <c r="O53" i="11"/>
  <c r="R53" i="11"/>
  <c r="O52" i="11"/>
  <c r="O51" i="11"/>
  <c r="R51" i="11"/>
  <c r="O50" i="11"/>
  <c r="O49" i="11"/>
  <c r="O48" i="11"/>
  <c r="R48" i="11"/>
  <c r="O47" i="11"/>
  <c r="O46" i="11"/>
  <c r="Q45" i="11"/>
  <c r="P45" i="11"/>
  <c r="O44" i="11"/>
  <c r="O43" i="11"/>
  <c r="O42" i="11"/>
  <c r="R42" i="11"/>
  <c r="O41" i="11"/>
  <c r="O40" i="11"/>
  <c r="O39" i="11"/>
  <c r="R39" i="11"/>
  <c r="O38" i="11"/>
  <c r="R37" i="11"/>
  <c r="O37" i="11"/>
  <c r="O36" i="11"/>
  <c r="O35" i="11"/>
  <c r="R34" i="11"/>
  <c r="O34" i="11"/>
  <c r="O33" i="11"/>
  <c r="O32" i="11"/>
  <c r="R31" i="11"/>
  <c r="O31" i="11"/>
  <c r="O30" i="11"/>
  <c r="O29" i="11"/>
  <c r="R29" i="11"/>
  <c r="O28" i="11"/>
  <c r="O27" i="11"/>
  <c r="R27" i="11"/>
  <c r="O26" i="11"/>
  <c r="O25" i="11"/>
  <c r="R25" i="11"/>
  <c r="O24" i="11"/>
  <c r="R23" i="11"/>
  <c r="O23" i="11"/>
  <c r="O22" i="11"/>
  <c r="O21" i="11"/>
  <c r="R21" i="11"/>
  <c r="O20" i="11"/>
  <c r="O19" i="11"/>
  <c r="O18" i="11"/>
  <c r="R18" i="11"/>
  <c r="O17" i="11"/>
  <c r="O16" i="11"/>
  <c r="P15" i="11"/>
  <c r="O14" i="11"/>
  <c r="O13" i="11"/>
  <c r="O12" i="11"/>
  <c r="O11" i="11"/>
  <c r="O10" i="11"/>
  <c r="O9" i="11"/>
  <c r="N8" i="11"/>
  <c r="M8" i="11"/>
  <c r="L8" i="11"/>
  <c r="K8" i="11"/>
  <c r="J8" i="11"/>
  <c r="I8" i="11"/>
  <c r="H8" i="11"/>
  <c r="G8" i="11"/>
  <c r="F8" i="11"/>
  <c r="O8" i="11"/>
  <c r="R8" i="11"/>
  <c r="K13" i="10"/>
  <c r="O13" i="10"/>
  <c r="E13" i="10"/>
  <c r="J16" i="10"/>
  <c r="N16" i="10"/>
  <c r="D16" i="10"/>
  <c r="K16" i="10"/>
  <c r="O16" i="10"/>
  <c r="E16" i="10"/>
  <c r="E14" i="10"/>
  <c r="J17" i="10"/>
  <c r="N17" i="10"/>
  <c r="D17" i="10"/>
  <c r="K17" i="10"/>
  <c r="O17" i="10"/>
  <c r="E17" i="10"/>
  <c r="K20" i="10"/>
  <c r="O20" i="10"/>
  <c r="E20" i="10"/>
  <c r="J21" i="10"/>
  <c r="N21" i="10"/>
  <c r="D21" i="10"/>
  <c r="C21" i="10"/>
  <c r="K21" i="10"/>
  <c r="O21" i="10"/>
  <c r="E21" i="10"/>
  <c r="J22" i="10"/>
  <c r="N22" i="10"/>
  <c r="D22" i="10"/>
  <c r="J23" i="10"/>
  <c r="N23" i="10"/>
  <c r="D23" i="10"/>
  <c r="C23" i="10"/>
  <c r="K23" i="10"/>
  <c r="O23" i="10"/>
  <c r="E23" i="10"/>
  <c r="J24" i="10"/>
  <c r="N24" i="10"/>
  <c r="D24" i="10"/>
  <c r="C24" i="10"/>
  <c r="K24" i="10"/>
  <c r="O24" i="10"/>
  <c r="E24" i="10"/>
  <c r="K27" i="10"/>
  <c r="O27" i="10"/>
  <c r="E27" i="10"/>
  <c r="E25" i="10"/>
  <c r="J27" i="10"/>
  <c r="Q25" i="10"/>
  <c r="P25" i="10"/>
  <c r="M25" i="10"/>
  <c r="L25" i="10"/>
  <c r="I25" i="10"/>
  <c r="H25" i="10"/>
  <c r="G25" i="10"/>
  <c r="K25" i="10"/>
  <c r="O25" i="10"/>
  <c r="F25" i="10"/>
  <c r="Q18" i="10"/>
  <c r="K22" i="10"/>
  <c r="O22" i="10"/>
  <c r="E22" i="10"/>
  <c r="P18" i="10"/>
  <c r="L18" i="10"/>
  <c r="J20" i="10"/>
  <c r="M18" i="10"/>
  <c r="I18" i="10"/>
  <c r="G18" i="10"/>
  <c r="F18" i="10"/>
  <c r="Q14" i="10"/>
  <c r="P14" i="10"/>
  <c r="P10" i="10"/>
  <c r="M14" i="10"/>
  <c r="L14" i="10"/>
  <c r="I14" i="10"/>
  <c r="H14" i="10"/>
  <c r="H10" i="10"/>
  <c r="J10" i="10"/>
  <c r="G14" i="10"/>
  <c r="G10" i="10"/>
  <c r="F14" i="10"/>
  <c r="L11" i="10"/>
  <c r="J13" i="10"/>
  <c r="Q11" i="10"/>
  <c r="P11" i="10"/>
  <c r="M11" i="10"/>
  <c r="I11" i="10"/>
  <c r="K11" i="10"/>
  <c r="H11" i="10"/>
  <c r="J11" i="10"/>
  <c r="N11" i="10"/>
  <c r="P13" i="8"/>
  <c r="Q13" i="8"/>
  <c r="P16" i="8"/>
  <c r="Q16" i="8"/>
  <c r="P17" i="8"/>
  <c r="P20" i="8"/>
  <c r="Q20" i="8"/>
  <c r="N18" i="8"/>
  <c r="P18" i="8"/>
  <c r="N23" i="8"/>
  <c r="P23" i="8"/>
  <c r="N24" i="8"/>
  <c r="P24" i="8"/>
  <c r="L28" i="8"/>
  <c r="L26" i="8"/>
  <c r="L30" i="8"/>
  <c r="M23" i="8"/>
  <c r="L21" i="8"/>
  <c r="L19" i="8"/>
  <c r="O17" i="8"/>
  <c r="Q17" i="8"/>
  <c r="L14" i="8"/>
  <c r="O28" i="8"/>
  <c r="O26" i="8"/>
  <c r="K23" i="8"/>
  <c r="O22" i="8"/>
  <c r="Q22" i="8"/>
  <c r="I15" i="8"/>
  <c r="I30" i="8"/>
  <c r="I23" i="8"/>
  <c r="I19" i="8"/>
  <c r="I26" i="8"/>
  <c r="O21" i="8"/>
  <c r="Q21" i="8"/>
  <c r="J28" i="8"/>
  <c r="J21" i="8"/>
  <c r="J19" i="8"/>
  <c r="J14" i="8"/>
  <c r="O25" i="8"/>
  <c r="Q25" i="8"/>
  <c r="O24" i="8"/>
  <c r="Q24" i="8"/>
  <c r="O18" i="8"/>
  <c r="Q18" i="8"/>
  <c r="H14" i="8"/>
  <c r="N17" i="8"/>
  <c r="N25" i="8"/>
  <c r="P25" i="8"/>
  <c r="H28" i="8"/>
  <c r="N22" i="8"/>
  <c r="P22" i="8"/>
  <c r="H21" i="8"/>
  <c r="H20" i="8"/>
  <c r="K45" i="8"/>
  <c r="J45" i="8"/>
  <c r="I45" i="8"/>
  <c r="K39" i="8"/>
  <c r="J39" i="8"/>
  <c r="I39" i="8"/>
  <c r="L15" i="8"/>
  <c r="M12" i="8"/>
  <c r="L12" i="8"/>
  <c r="L11" i="8"/>
  <c r="J12" i="8"/>
  <c r="K12" i="8"/>
  <c r="H26" i="8"/>
  <c r="H12" i="8"/>
  <c r="G15" i="8"/>
  <c r="J15" i="8"/>
  <c r="K15" i="8"/>
  <c r="M15" i="8"/>
  <c r="G19" i="8"/>
  <c r="M19" i="8"/>
  <c r="M11" i="8"/>
  <c r="F19" i="8"/>
  <c r="G26" i="8"/>
  <c r="K26" i="8"/>
  <c r="M26" i="8"/>
  <c r="F26" i="8"/>
  <c r="F15" i="8"/>
  <c r="F11" i="8"/>
  <c r="C28" i="8"/>
  <c r="C26" i="8"/>
  <c r="E26" i="8"/>
  <c r="E11" i="8"/>
  <c r="D26" i="8"/>
  <c r="C25" i="8"/>
  <c r="C24" i="8"/>
  <c r="C23" i="8"/>
  <c r="C19" i="8"/>
  <c r="C11" i="8"/>
  <c r="C22" i="8"/>
  <c r="C21" i="8"/>
  <c r="E19" i="8"/>
  <c r="D19" i="8"/>
  <c r="C18" i="8"/>
  <c r="C17" i="8"/>
  <c r="C15" i="8"/>
  <c r="E15" i="8"/>
  <c r="D15" i="8"/>
  <c r="C14" i="8"/>
  <c r="E12" i="8"/>
  <c r="D12" i="8"/>
  <c r="C12" i="8"/>
  <c r="M23" i="7"/>
  <c r="L23" i="7"/>
  <c r="K23" i="7"/>
  <c r="I21" i="7"/>
  <c r="I23" i="7"/>
  <c r="H21" i="7"/>
  <c r="H23" i="7"/>
  <c r="F21" i="7"/>
  <c r="F23" i="7"/>
  <c r="E21" i="7"/>
  <c r="E23" i="7"/>
  <c r="M13" i="7"/>
  <c r="M15" i="7"/>
  <c r="M17" i="7"/>
  <c r="M19" i="7"/>
  <c r="L13" i="7"/>
  <c r="L15" i="7"/>
  <c r="L17" i="7"/>
  <c r="L19" i="7"/>
  <c r="K13" i="7"/>
  <c r="K15" i="7"/>
  <c r="K17" i="7"/>
  <c r="K19" i="7"/>
  <c r="I13" i="7"/>
  <c r="I15" i="7"/>
  <c r="I17" i="7"/>
  <c r="I19" i="7"/>
  <c r="H13" i="7"/>
  <c r="H15" i="7"/>
  <c r="F13" i="7"/>
  <c r="F15" i="7"/>
  <c r="F17" i="7"/>
  <c r="F19" i="7"/>
  <c r="E13" i="7"/>
  <c r="J11" i="7"/>
  <c r="J21" i="7"/>
  <c r="J23" i="7"/>
  <c r="G11" i="7"/>
  <c r="J9" i="7"/>
  <c r="J13" i="7"/>
  <c r="G9" i="7"/>
  <c r="G13" i="7"/>
  <c r="G15" i="7"/>
  <c r="G17" i="7"/>
  <c r="G19" i="7"/>
  <c r="P7" i="7"/>
  <c r="O7" i="7"/>
  <c r="E89" i="3"/>
  <c r="E88" i="3"/>
  <c r="E87" i="3"/>
  <c r="C89" i="3"/>
  <c r="C88" i="3"/>
  <c r="C87" i="3"/>
  <c r="E83" i="3"/>
  <c r="C83" i="3"/>
  <c r="C82" i="3"/>
  <c r="E82" i="3"/>
  <c r="E81" i="3"/>
  <c r="E78" i="3"/>
  <c r="E77" i="3"/>
  <c r="E73" i="3"/>
  <c r="E72" i="3"/>
  <c r="E67" i="3"/>
  <c r="E69" i="3"/>
  <c r="E68" i="3"/>
  <c r="C69" i="3"/>
  <c r="C68" i="3"/>
  <c r="C73" i="3"/>
  <c r="C72" i="3"/>
  <c r="E64" i="3"/>
  <c r="E63" i="3"/>
  <c r="E62" i="3"/>
  <c r="E92" i="3"/>
  <c r="E53" i="3"/>
  <c r="E41" i="3"/>
  <c r="E49" i="3"/>
  <c r="E43" i="3"/>
  <c r="E33" i="3"/>
  <c r="E28" i="3"/>
  <c r="E27" i="3"/>
  <c r="E22" i="3"/>
  <c r="E21" i="3"/>
  <c r="E9" i="3"/>
  <c r="E8" i="3"/>
  <c r="E7" i="3"/>
  <c r="C78" i="3"/>
  <c r="C77" i="3"/>
  <c r="C43" i="3"/>
  <c r="C38" i="3"/>
  <c r="C34" i="3"/>
  <c r="C26" i="3"/>
  <c r="C22" i="3"/>
  <c r="C18" i="3"/>
  <c r="C28" i="3"/>
  <c r="C27" i="3"/>
  <c r="C9" i="3"/>
  <c r="C8" i="3"/>
  <c r="C7" i="3"/>
  <c r="C59" i="3"/>
  <c r="C56" i="3"/>
  <c r="C49" i="3"/>
  <c r="C48" i="3"/>
  <c r="P26" i="5"/>
  <c r="O26" i="5"/>
  <c r="P24" i="5"/>
  <c r="O24" i="5"/>
  <c r="P22" i="5"/>
  <c r="O22" i="5"/>
  <c r="P20" i="5"/>
  <c r="O20" i="5"/>
  <c r="P18" i="5"/>
  <c r="O18" i="5"/>
  <c r="P16" i="5"/>
  <c r="P15" i="5"/>
  <c r="O16" i="5"/>
  <c r="O15" i="5"/>
  <c r="P80" i="4"/>
  <c r="P79" i="4"/>
  <c r="O80" i="4"/>
  <c r="O79" i="4"/>
  <c r="P77" i="4"/>
  <c r="P76" i="4"/>
  <c r="O77" i="4"/>
  <c r="O76" i="4"/>
  <c r="P73" i="4"/>
  <c r="O73" i="4"/>
  <c r="P70" i="4"/>
  <c r="O70" i="4"/>
  <c r="P67" i="4"/>
  <c r="O67" i="4"/>
  <c r="P63" i="4"/>
  <c r="P62" i="4"/>
  <c r="O63" i="4"/>
  <c r="O62" i="4"/>
  <c r="P45" i="4"/>
  <c r="O45" i="4"/>
  <c r="P43" i="4"/>
  <c r="O43" i="4"/>
  <c r="P41" i="4"/>
  <c r="O41" i="4"/>
  <c r="P39" i="4"/>
  <c r="O39" i="4"/>
  <c r="P37" i="4"/>
  <c r="O37" i="4"/>
  <c r="P34" i="4"/>
  <c r="O34" i="4"/>
  <c r="P32" i="4"/>
  <c r="O32" i="4"/>
  <c r="O31" i="4"/>
  <c r="P25" i="4"/>
  <c r="O25" i="4"/>
  <c r="P23" i="4"/>
  <c r="O23" i="4"/>
  <c r="P21" i="4"/>
  <c r="O21" i="4"/>
  <c r="P19" i="4"/>
  <c r="O19" i="4"/>
  <c r="P7" i="4"/>
  <c r="O7" i="4"/>
  <c r="P17" i="4"/>
  <c r="O17" i="4"/>
  <c r="P15" i="4"/>
  <c r="P14" i="4"/>
  <c r="O15" i="4"/>
  <c r="O14" i="4"/>
  <c r="I66" i="2"/>
  <c r="I82" i="2"/>
  <c r="G66" i="2"/>
  <c r="H66" i="2"/>
  <c r="F66" i="2"/>
  <c r="G82" i="2"/>
  <c r="H82" i="2"/>
  <c r="F82" i="2"/>
  <c r="P77" i="2"/>
  <c r="Q77" i="2"/>
  <c r="P80" i="2"/>
  <c r="Q80" i="2"/>
  <c r="L82" i="2"/>
  <c r="M82" i="2"/>
  <c r="N82" i="2"/>
  <c r="M79" i="2"/>
  <c r="N79" i="2"/>
  <c r="L79" i="2"/>
  <c r="J79" i="2"/>
  <c r="K79" i="2"/>
  <c r="I79" i="2"/>
  <c r="G79" i="2"/>
  <c r="H79" i="2"/>
  <c r="O79" i="2"/>
  <c r="O78" i="2"/>
  <c r="F79" i="2"/>
  <c r="P67" i="2"/>
  <c r="Q67" i="2"/>
  <c r="M76" i="2"/>
  <c r="N76" i="2"/>
  <c r="L76" i="2"/>
  <c r="J76" i="2"/>
  <c r="K76" i="2"/>
  <c r="I76" i="2"/>
  <c r="G76" i="2"/>
  <c r="H76" i="2"/>
  <c r="F76" i="2"/>
  <c r="M75" i="2"/>
  <c r="N75" i="2"/>
  <c r="L75" i="2"/>
  <c r="J75" i="2"/>
  <c r="K75" i="2"/>
  <c r="I75" i="2"/>
  <c r="G75" i="2"/>
  <c r="H75" i="2"/>
  <c r="F75" i="2"/>
  <c r="O75" i="2"/>
  <c r="M70" i="2"/>
  <c r="M73" i="2"/>
  <c r="N70" i="2"/>
  <c r="N73" i="2"/>
  <c r="L70" i="2"/>
  <c r="L73" i="2"/>
  <c r="J70" i="2"/>
  <c r="J73" i="2"/>
  <c r="K70" i="2"/>
  <c r="K73" i="2"/>
  <c r="I70" i="2"/>
  <c r="I73" i="2"/>
  <c r="G70" i="2"/>
  <c r="G73" i="2"/>
  <c r="H70" i="2"/>
  <c r="H73" i="2"/>
  <c r="F70" i="2"/>
  <c r="M69" i="2"/>
  <c r="M72" i="2"/>
  <c r="N69" i="2"/>
  <c r="N72" i="2"/>
  <c r="L69" i="2"/>
  <c r="L72" i="2"/>
  <c r="J69" i="2"/>
  <c r="J72" i="2"/>
  <c r="K69" i="2"/>
  <c r="K72" i="2"/>
  <c r="I69" i="2"/>
  <c r="I72" i="2"/>
  <c r="G69" i="2"/>
  <c r="G72" i="2"/>
  <c r="H69" i="2"/>
  <c r="F69" i="2"/>
  <c r="F72" i="2"/>
  <c r="P64" i="2"/>
  <c r="J66" i="2"/>
  <c r="J82" i="2"/>
  <c r="K66" i="2"/>
  <c r="K82" i="2"/>
  <c r="M65" i="2"/>
  <c r="N65" i="2"/>
  <c r="L65" i="2"/>
  <c r="J65" i="2"/>
  <c r="K65" i="2"/>
  <c r="I65" i="2"/>
  <c r="G65" i="2"/>
  <c r="H65" i="2"/>
  <c r="F65" i="2"/>
  <c r="P32" i="2"/>
  <c r="Q32" i="2"/>
  <c r="M43" i="2"/>
  <c r="M45" i="2"/>
  <c r="M52" i="2"/>
  <c r="M54" i="2"/>
  <c r="M56" i="2"/>
  <c r="N43" i="2"/>
  <c r="N45" i="2"/>
  <c r="N52" i="2"/>
  <c r="N54" i="2"/>
  <c r="N56" i="2"/>
  <c r="L43" i="2"/>
  <c r="L45" i="2"/>
  <c r="L52" i="2"/>
  <c r="L54" i="2"/>
  <c r="L56" i="2"/>
  <c r="J43" i="2"/>
  <c r="J45" i="2"/>
  <c r="J52" i="2"/>
  <c r="J54" i="2"/>
  <c r="J56" i="2"/>
  <c r="K43" i="2"/>
  <c r="K45" i="2"/>
  <c r="K52" i="2"/>
  <c r="K54" i="2"/>
  <c r="K56" i="2"/>
  <c r="I43" i="2"/>
  <c r="G43" i="2"/>
  <c r="G45" i="2"/>
  <c r="H43" i="2"/>
  <c r="H45" i="2"/>
  <c r="H52" i="2"/>
  <c r="H54" i="2"/>
  <c r="H56" i="2"/>
  <c r="F43" i="2"/>
  <c r="F45" i="2"/>
  <c r="F52" i="2"/>
  <c r="F54" i="2"/>
  <c r="F56" i="2"/>
  <c r="M37" i="2"/>
  <c r="M48" i="2"/>
  <c r="M62" i="2"/>
  <c r="N37" i="2"/>
  <c r="N48" i="2"/>
  <c r="N62" i="2"/>
  <c r="L37" i="2"/>
  <c r="L48" i="2"/>
  <c r="L62" i="2"/>
  <c r="J37" i="2"/>
  <c r="J48" i="2"/>
  <c r="J62" i="2"/>
  <c r="K37" i="2"/>
  <c r="K48" i="2"/>
  <c r="K62" i="2"/>
  <c r="I37" i="2"/>
  <c r="G37" i="2"/>
  <c r="G48" i="2"/>
  <c r="G62" i="2"/>
  <c r="H37" i="2"/>
  <c r="H48" i="2"/>
  <c r="F37" i="2"/>
  <c r="M34" i="2"/>
  <c r="M36" i="2"/>
  <c r="M39" i="2"/>
  <c r="M41" i="2"/>
  <c r="M47" i="2"/>
  <c r="M50" i="2"/>
  <c r="M58" i="2"/>
  <c r="M60" i="2"/>
  <c r="N34" i="2"/>
  <c r="N36" i="2"/>
  <c r="N39" i="2"/>
  <c r="N41" i="2"/>
  <c r="N47" i="2"/>
  <c r="N50" i="2"/>
  <c r="N58" i="2"/>
  <c r="N60" i="2"/>
  <c r="L34" i="2"/>
  <c r="L36" i="2"/>
  <c r="L39" i="2"/>
  <c r="L41" i="2"/>
  <c r="L47" i="2"/>
  <c r="L50" i="2"/>
  <c r="L58" i="2"/>
  <c r="L60" i="2"/>
  <c r="J34" i="2"/>
  <c r="J36" i="2"/>
  <c r="J39" i="2"/>
  <c r="J41" i="2"/>
  <c r="J47" i="2"/>
  <c r="J50" i="2"/>
  <c r="J58" i="2"/>
  <c r="J60" i="2"/>
  <c r="K34" i="2"/>
  <c r="K36" i="2"/>
  <c r="K39" i="2"/>
  <c r="K41" i="2"/>
  <c r="K47" i="2"/>
  <c r="K50" i="2"/>
  <c r="K58" i="2"/>
  <c r="K60" i="2"/>
  <c r="I34" i="2"/>
  <c r="I36" i="2"/>
  <c r="I39" i="2"/>
  <c r="I41" i="2"/>
  <c r="I47" i="2"/>
  <c r="I50" i="2"/>
  <c r="I58" i="2"/>
  <c r="I60" i="2"/>
  <c r="G34" i="2"/>
  <c r="G36" i="2"/>
  <c r="H34" i="2"/>
  <c r="H36" i="2"/>
  <c r="H39" i="2"/>
  <c r="H41" i="2"/>
  <c r="H47" i="2"/>
  <c r="H50" i="2"/>
  <c r="H58" i="2"/>
  <c r="H60" i="2"/>
  <c r="F34" i="2"/>
  <c r="O34" i="2"/>
  <c r="O33" i="2"/>
  <c r="P15" i="2"/>
  <c r="Q15" i="2"/>
  <c r="O9" i="2"/>
  <c r="L31" i="2"/>
  <c r="M31" i="2"/>
  <c r="N31" i="2"/>
  <c r="F31" i="2"/>
  <c r="F29" i="2"/>
  <c r="G29" i="2"/>
  <c r="G31" i="2"/>
  <c r="I29" i="2"/>
  <c r="I31" i="2"/>
  <c r="J29" i="2"/>
  <c r="J31" i="2"/>
  <c r="K19" i="2"/>
  <c r="H19" i="2"/>
  <c r="H29" i="2"/>
  <c r="H31" i="2"/>
  <c r="G21" i="2"/>
  <c r="G23" i="2"/>
  <c r="G25" i="2"/>
  <c r="G27" i="2"/>
  <c r="I21" i="2"/>
  <c r="I23" i="2"/>
  <c r="I25" i="2"/>
  <c r="I27" i="2"/>
  <c r="J21" i="2"/>
  <c r="J23" i="2"/>
  <c r="J25" i="2"/>
  <c r="J27" i="2"/>
  <c r="L21" i="2"/>
  <c r="L23" i="2"/>
  <c r="L25" i="2"/>
  <c r="L27" i="2"/>
  <c r="M21" i="2"/>
  <c r="M23" i="2"/>
  <c r="M25" i="2"/>
  <c r="M27" i="2"/>
  <c r="N21" i="2"/>
  <c r="N23" i="2"/>
  <c r="N25" i="2"/>
  <c r="N27" i="2"/>
  <c r="F21" i="2"/>
  <c r="F23" i="2"/>
  <c r="K17" i="2"/>
  <c r="H17" i="2"/>
  <c r="H21" i="2"/>
  <c r="H23" i="2"/>
  <c r="H25" i="2"/>
  <c r="H27" i="2"/>
  <c r="N14" i="2"/>
  <c r="K14" i="2"/>
  <c r="H14" i="2"/>
  <c r="O14" i="2"/>
  <c r="N13" i="2"/>
  <c r="K13" i="2"/>
  <c r="H13" i="2"/>
  <c r="O13" i="2"/>
  <c r="N12" i="2"/>
  <c r="K12" i="2"/>
  <c r="H12" i="2"/>
  <c r="O12" i="2"/>
  <c r="N11" i="2"/>
  <c r="K11" i="2"/>
  <c r="H11" i="2"/>
  <c r="O11" i="2"/>
  <c r="N10" i="2"/>
  <c r="N8" i="2"/>
  <c r="K10" i="2"/>
  <c r="H10" i="2"/>
  <c r="O10" i="2"/>
  <c r="G8" i="2"/>
  <c r="I8" i="2"/>
  <c r="J8" i="2"/>
  <c r="L8" i="2"/>
  <c r="M8" i="2"/>
  <c r="F8" i="2"/>
  <c r="E71" i="1"/>
  <c r="D71" i="1"/>
  <c r="C71" i="1"/>
  <c r="K47" i="1"/>
  <c r="J47" i="1"/>
  <c r="I47" i="1"/>
  <c r="H47" i="1"/>
  <c r="G47" i="1"/>
  <c r="F47" i="1"/>
  <c r="E47" i="1"/>
  <c r="D47" i="1"/>
  <c r="C47" i="1"/>
  <c r="K24" i="1"/>
  <c r="J24" i="1"/>
  <c r="I24" i="1"/>
  <c r="H24" i="1"/>
  <c r="G24" i="1"/>
  <c r="F24" i="1"/>
  <c r="E24" i="1"/>
  <c r="D24" i="1"/>
  <c r="C24" i="1"/>
  <c r="N7" i="4"/>
  <c r="M7" i="4"/>
  <c r="L7" i="4"/>
  <c r="K7" i="4"/>
  <c r="J7" i="4"/>
  <c r="I7" i="4"/>
  <c r="H7" i="4"/>
  <c r="G7" i="4"/>
  <c r="F7" i="4"/>
  <c r="Q76" i="4"/>
  <c r="F25" i="2"/>
  <c r="K8" i="2"/>
  <c r="F27" i="2"/>
  <c r="R33" i="2"/>
  <c r="Q32" i="4"/>
  <c r="F48" i="2"/>
  <c r="F62" i="2"/>
  <c r="F36" i="2"/>
  <c r="C67" i="3"/>
  <c r="C92" i="3"/>
  <c r="C41" i="3"/>
  <c r="F39" i="2"/>
  <c r="F41" i="2"/>
  <c r="N9" i="7"/>
  <c r="N8" i="7"/>
  <c r="E15" i="7"/>
  <c r="G21" i="7"/>
  <c r="G23" i="7"/>
  <c r="N23" i="7"/>
  <c r="N22" i="7"/>
  <c r="Q22" i="7"/>
  <c r="E17" i="7"/>
  <c r="E19" i="7"/>
  <c r="D11" i="8"/>
  <c r="D33" i="8"/>
  <c r="O14" i="8"/>
  <c r="Q14" i="8"/>
  <c r="I12" i="8"/>
  <c r="O15" i="8"/>
  <c r="Q15" i="8"/>
  <c r="N15" i="8"/>
  <c r="P15" i="8"/>
  <c r="H19" i="8"/>
  <c r="E33" i="8"/>
  <c r="G11" i="8"/>
  <c r="H15" i="8"/>
  <c r="N13" i="10"/>
  <c r="D13" i="10"/>
  <c r="D11" i="10"/>
  <c r="C13" i="10"/>
  <c r="C11" i="10"/>
  <c r="I10" i="10"/>
  <c r="K10" i="10"/>
  <c r="L10" i="10"/>
  <c r="K18" i="10"/>
  <c r="O18" i="10"/>
  <c r="N20" i="10"/>
  <c r="D20" i="10"/>
  <c r="O11" i="10"/>
  <c r="E11" i="10"/>
  <c r="F10" i="10"/>
  <c r="N10" i="10"/>
  <c r="D10" i="10"/>
  <c r="H18" i="10"/>
  <c r="N27" i="10"/>
  <c r="D27" i="10"/>
  <c r="J18" i="10"/>
  <c r="N18" i="10"/>
  <c r="E18" i="10"/>
  <c r="I48" i="2"/>
  <c r="P31" i="4"/>
  <c r="P66" i="4"/>
  <c r="N21" i="7"/>
  <c r="N20" i="7"/>
  <c r="Q20" i="7"/>
  <c r="K14" i="10"/>
  <c r="O14" i="10"/>
  <c r="O66" i="2"/>
  <c r="M10" i="10"/>
  <c r="O10" i="10"/>
  <c r="I62" i="2"/>
  <c r="O82" i="2"/>
  <c r="O81" i="2"/>
  <c r="P82" i="4"/>
  <c r="H8" i="2"/>
  <c r="O8" i="2"/>
  <c r="R8" i="2"/>
  <c r="R81" i="2"/>
  <c r="O80" i="2"/>
  <c r="K21" i="2"/>
  <c r="O17" i="2"/>
  <c r="O16" i="2"/>
  <c r="K29" i="2"/>
  <c r="K31" i="2"/>
  <c r="O31" i="2"/>
  <c r="O30" i="2"/>
  <c r="R30" i="2"/>
  <c r="O19" i="2"/>
  <c r="O18" i="2"/>
  <c r="R18" i="2"/>
  <c r="I45" i="2"/>
  <c r="I52" i="2"/>
  <c r="I54" i="2"/>
  <c r="I56" i="2"/>
  <c r="O43" i="2"/>
  <c r="O42" i="2"/>
  <c r="R42" i="2"/>
  <c r="Q41" i="4"/>
  <c r="H72" i="2"/>
  <c r="O72" i="2"/>
  <c r="O69" i="2"/>
  <c r="F73" i="2"/>
  <c r="O73" i="2"/>
  <c r="O70" i="2"/>
  <c r="H17" i="7"/>
  <c r="N14" i="8"/>
  <c r="P14" i="8"/>
  <c r="H30" i="8"/>
  <c r="I11" i="8"/>
  <c r="O12" i="8"/>
  <c r="F47" i="2"/>
  <c r="H62" i="2"/>
  <c r="O62" i="2"/>
  <c r="O61" i="2"/>
  <c r="R61" i="2"/>
  <c r="Q60" i="4"/>
  <c r="O48" i="2"/>
  <c r="J26" i="8"/>
  <c r="N28" i="8"/>
  <c r="N26" i="8"/>
  <c r="C27" i="10"/>
  <c r="C25" i="10"/>
  <c r="D25" i="10"/>
  <c r="N12" i="8"/>
  <c r="H11" i="8"/>
  <c r="C17" i="10"/>
  <c r="D14" i="10"/>
  <c r="G39" i="2"/>
  <c r="G41" i="2"/>
  <c r="G47" i="2"/>
  <c r="G50" i="2"/>
  <c r="G58" i="2"/>
  <c r="G60" i="2"/>
  <c r="O36" i="2"/>
  <c r="J15" i="7"/>
  <c r="J17" i="7"/>
  <c r="J19" i="7"/>
  <c r="N13" i="7"/>
  <c r="N12" i="7"/>
  <c r="Q12" i="7"/>
  <c r="O23" i="8"/>
  <c r="K19" i="8"/>
  <c r="O29" i="2"/>
  <c r="O28" i="2"/>
  <c r="R28" i="2"/>
  <c r="Q8" i="7"/>
  <c r="O37" i="2"/>
  <c r="C20" i="10"/>
  <c r="D18" i="10"/>
  <c r="M30" i="8"/>
  <c r="O39" i="2"/>
  <c r="O38" i="2"/>
  <c r="R38" i="2"/>
  <c r="Q37" i="4"/>
  <c r="R78" i="2"/>
  <c r="R77" i="2"/>
  <c r="O77" i="2"/>
  <c r="G52" i="2"/>
  <c r="O65" i="2"/>
  <c r="O64" i="2"/>
  <c r="R64" i="2"/>
  <c r="J25" i="10"/>
  <c r="N25" i="10"/>
  <c r="C22" i="10"/>
  <c r="C16" i="10"/>
  <c r="O66" i="4"/>
  <c r="O82" i="4"/>
  <c r="N21" i="8"/>
  <c r="Q10" i="10"/>
  <c r="E10" i="10"/>
  <c r="J14" i="10"/>
  <c r="N14" i="10"/>
  <c r="O76" i="2"/>
  <c r="O74" i="2"/>
  <c r="R74" i="2"/>
  <c r="Q73" i="4"/>
  <c r="Q66" i="4"/>
  <c r="N11" i="7"/>
  <c r="N10" i="7"/>
  <c r="Q10" i="7"/>
  <c r="O41" i="2"/>
  <c r="O40" i="2"/>
  <c r="R40" i="2"/>
  <c r="Q39" i="4"/>
  <c r="O68" i="2"/>
  <c r="G54" i="2"/>
  <c r="O52" i="2"/>
  <c r="O51" i="2"/>
  <c r="R51" i="2"/>
  <c r="Q50" i="4"/>
  <c r="J11" i="8"/>
  <c r="J30" i="8"/>
  <c r="N19" i="8"/>
  <c r="P19" i="8"/>
  <c r="P21" i="8"/>
  <c r="Q7" i="4"/>
  <c r="K30" i="8"/>
  <c r="K11" i="8"/>
  <c r="O35" i="2"/>
  <c r="O11" i="8"/>
  <c r="Q12" i="8"/>
  <c r="N15" i="7"/>
  <c r="N14" i="7"/>
  <c r="Q14" i="7"/>
  <c r="Q7" i="7"/>
  <c r="R68" i="2"/>
  <c r="Q18" i="5"/>
  <c r="Q17" i="4"/>
  <c r="Q63" i="4"/>
  <c r="Q62" i="4"/>
  <c r="R63" i="2"/>
  <c r="Q23" i="8"/>
  <c r="O19" i="8"/>
  <c r="Q19" i="8"/>
  <c r="P12" i="8"/>
  <c r="N11" i="8"/>
  <c r="H19" i="7"/>
  <c r="N19" i="7"/>
  <c r="N18" i="7"/>
  <c r="Q18" i="7"/>
  <c r="N17" i="7"/>
  <c r="N16" i="7"/>
  <c r="Q16" i="7"/>
  <c r="O71" i="2"/>
  <c r="R71" i="2"/>
  <c r="R80" i="2"/>
  <c r="Q80" i="4"/>
  <c r="Q79" i="4"/>
  <c r="K23" i="2"/>
  <c r="O21" i="2"/>
  <c r="O20" i="2"/>
  <c r="R20" i="2"/>
  <c r="C14" i="10"/>
  <c r="O45" i="2"/>
  <c r="O44" i="2"/>
  <c r="R44" i="2"/>
  <c r="Q43" i="4"/>
  <c r="C18" i="10"/>
  <c r="N7" i="7"/>
  <c r="O47" i="2"/>
  <c r="O46" i="2"/>
  <c r="R46" i="2"/>
  <c r="Q45" i="4"/>
  <c r="F50" i="2"/>
  <c r="R16" i="2"/>
  <c r="K25" i="2"/>
  <c r="O23" i="2"/>
  <c r="O22" i="2"/>
  <c r="R22" i="2"/>
  <c r="O67" i="2"/>
  <c r="R35" i="2"/>
  <c r="R67" i="2"/>
  <c r="F58" i="2"/>
  <c r="O50" i="2"/>
  <c r="O49" i="2"/>
  <c r="R49" i="2"/>
  <c r="Q48" i="4"/>
  <c r="C10" i="10"/>
  <c r="G56" i="2"/>
  <c r="O56" i="2"/>
  <c r="O55" i="2"/>
  <c r="R55" i="2"/>
  <c r="Q54" i="4"/>
  <c r="O54" i="2"/>
  <c r="O53" i="2"/>
  <c r="R53" i="2"/>
  <c r="Q52" i="4"/>
  <c r="K27" i="2"/>
  <c r="O27" i="2"/>
  <c r="O26" i="2"/>
  <c r="R26" i="2"/>
  <c r="O25" i="2"/>
  <c r="O24" i="2"/>
  <c r="Q34" i="4"/>
  <c r="O58" i="2"/>
  <c r="O57" i="2"/>
  <c r="R57" i="2"/>
  <c r="Q56" i="4"/>
  <c r="F60" i="2"/>
  <c r="O60" i="2"/>
  <c r="O59" i="2"/>
  <c r="R59" i="2"/>
  <c r="Q58" i="4"/>
  <c r="O32" i="2"/>
  <c r="R24" i="2"/>
  <c r="O15" i="2"/>
  <c r="Q31" i="4"/>
  <c r="R32" i="2"/>
  <c r="Q24" i="5"/>
  <c r="Q15" i="5"/>
  <c r="Q23" i="4"/>
  <c r="Q14" i="4"/>
  <c r="Q82" i="4"/>
  <c r="R83" i="2"/>
  <c r="R15" i="2"/>
  <c r="O95" i="13"/>
  <c r="R96" i="13"/>
  <c r="S96" i="13"/>
  <c r="S129" i="13"/>
  <c r="O92" i="13"/>
  <c r="R98" i="12"/>
  <c r="S93" i="12"/>
  <c r="R92" i="12"/>
  <c r="S96" i="12"/>
  <c r="R95" i="12"/>
  <c r="O15" i="12"/>
  <c r="R15" i="12"/>
  <c r="R16" i="12"/>
  <c r="S16" i="12"/>
  <c r="O45" i="12"/>
  <c r="R45" i="12"/>
  <c r="R46" i="12"/>
  <c r="R79" i="12"/>
  <c r="O78" i="12"/>
  <c r="O86" i="12"/>
  <c r="R46" i="11"/>
  <c r="R45" i="11"/>
  <c r="O45" i="11"/>
  <c r="R16" i="11"/>
  <c r="R15" i="11"/>
  <c r="R129" i="11"/>
  <c r="O15" i="11"/>
  <c r="R82" i="11"/>
  <c r="O95" i="11"/>
  <c r="R96" i="11"/>
  <c r="R95" i="11"/>
  <c r="O82" i="11"/>
  <c r="S79" i="12"/>
  <c r="R78" i="12"/>
  <c r="O82" i="12"/>
  <c r="R82" i="12"/>
  <c r="R86" i="12"/>
  <c r="S86" i="12"/>
  <c r="S129" i="12"/>
</calcChain>
</file>

<file path=xl/sharedStrings.xml><?xml version="1.0" encoding="utf-8"?>
<sst xmlns="http://schemas.openxmlformats.org/spreadsheetml/2006/main" count="1066" uniqueCount="372">
  <si>
    <t>02205028</t>
  </si>
  <si>
    <t>04000255</t>
  </si>
  <si>
    <t>09400818</t>
  </si>
  <si>
    <t>06602309</t>
  </si>
  <si>
    <t>02800117</t>
  </si>
  <si>
    <t>03012933</t>
  </si>
  <si>
    <t>09700039</t>
  </si>
  <si>
    <t>09416902</t>
  </si>
  <si>
    <t>03000152</t>
  </si>
  <si>
    <t>00439284</t>
  </si>
  <si>
    <t>00404207</t>
  </si>
  <si>
    <t>06605968</t>
  </si>
  <si>
    <t>00405114</t>
  </si>
  <si>
    <t>00802543</t>
  </si>
  <si>
    <t>02800538</t>
  </si>
  <si>
    <t>01530525</t>
  </si>
  <si>
    <t>02228743</t>
  </si>
  <si>
    <t>04401874</t>
  </si>
  <si>
    <t>Տ Ե Ղ Ե Կ Ա Ն Ք</t>
  </si>
  <si>
    <t>Հաշվի համար</t>
  </si>
  <si>
    <t>Անվանում</t>
  </si>
  <si>
    <t>ՄԱՔՈՒՐ ԵՐԿԱԹԻ ԳՈՐԾԱՐԱՆ</t>
  </si>
  <si>
    <t>ԳԱՋԵԳՈՐԾ</t>
  </si>
  <si>
    <t>ԱՐՄԵՆԻԱՆ ՄՈԼԻԲԴԵՆ ՓՐՈԴԱՔՇՆ</t>
  </si>
  <si>
    <t>ԳԱՋ</t>
  </si>
  <si>
    <t>ԵՐԵՎԱՆԻ ՋԵՐՄԱԷԼԵԿՏՐԱԿԵՆՏՐՈՆ</t>
  </si>
  <si>
    <t>ՁՈՒԼԱԿԵՆՏՐՈՆ</t>
  </si>
  <si>
    <t>ԱՍԿԵ ԳՐՈՒՊ</t>
  </si>
  <si>
    <t>ՀՐԱԶԴԱՆԻ ՋԷԿ</t>
  </si>
  <si>
    <t>ՄԻԿԱ-ՑԵՄԵՆՏ</t>
  </si>
  <si>
    <t>ԱՐԱՐԱՏՑԵՄԵՆՏ</t>
  </si>
  <si>
    <t>ԱԽԹԱԼԱՅԻ ԼԵՌՆԱՀԱՐՍՏԱՑՄԱՆ ԿՈՄԲԻՆԱՏ</t>
  </si>
  <si>
    <t>ԱՐՄԵՆԻԱՆ ՔԱՓԸՐ ՓՐՈԳՐԱՄ</t>
  </si>
  <si>
    <t>ԶԱՆԳԵԶՈՒՐԻ ՊՂՆՁԱՄՈԼԻԲԴԵՆԱՅԻՆ ԿՈՄԲԻՆԱՏ</t>
  </si>
  <si>
    <t>ԴԻՆՈ ԳՈԼԴ ՄԱՅՆԻՆԳ ՔԱՄՓՆԻ</t>
  </si>
  <si>
    <t>ԱԳԱՐԱԿԻ ՊՂՆՁԱ ՄՈԼԻԲԴԵՆԱՅԻՆ ԿՈՄԲԻՆԱՏ</t>
  </si>
  <si>
    <t>ԳԵՈ ՊՐՈ ՄԱՅՆԻՆԳ ԳՈԼԴ</t>
  </si>
  <si>
    <t>ՆԱԻՐԻՏ ԳՈՐԾԱՐԱՆ</t>
  </si>
  <si>
    <t>ՀԱԷԿ</t>
  </si>
  <si>
    <t>Ընդամենը</t>
  </si>
  <si>
    <t>ՀՎՀՀ</t>
  </si>
  <si>
    <t>Ջրօգտագործման համար</t>
  </si>
  <si>
    <t>Վճարի տեսակ</t>
  </si>
  <si>
    <t>Օգտակար հանածոների արդյունահանման համար</t>
  </si>
  <si>
    <t>Ամրակայված աղբյուրներից օդային ավազան վնասակար նյութերի արտանետման համար</t>
  </si>
  <si>
    <t>Ջրային ավազան վնասակար նյութերի արտանետման համար</t>
  </si>
  <si>
    <t>Աղբյուսներում թափոնների տեղադրման համար</t>
  </si>
  <si>
    <t>Իրավ.Անձանց պատկանող ավտոմեքենանարի վնասակար նյութեր արտանետելու համար</t>
  </si>
  <si>
    <t>Արդյունահանված մետաղական օգտակար հանածոների և դրանց վերամշակման արդյունքում ստացված արտադրանքի իրացման համար վճարվող ռոյալթի</t>
  </si>
  <si>
    <t>«Երևանի ՋԷԿ» ՓԲԸ</t>
  </si>
  <si>
    <t xml:space="preserve">«Գաջեգործ» ՓԲԸ </t>
  </si>
  <si>
    <t>«Գաջ» ՓԲԸ</t>
  </si>
  <si>
    <t>«Արմենիան Մոլիբդեն Փրոդաքշն» ՍՊԸ</t>
  </si>
  <si>
    <t>«Մաքուր երկաթ»  ԲԲԸ</t>
  </si>
  <si>
    <t>«Նաիրիտ» գործարան» ՓԲԸ</t>
  </si>
  <si>
    <t xml:space="preserve">ք. Երևան </t>
  </si>
  <si>
    <t>ք. Ալավերդի</t>
  </si>
  <si>
    <t>ԼՈՌՈՒ ՄԱՐԶ</t>
  </si>
  <si>
    <r>
      <t>«Արմենիա Քափր Փրոգրամ</t>
    </r>
    <r>
      <rPr>
        <sz val="12"/>
        <color indexed="8"/>
        <rFont val="GHEA Grapalat"/>
        <family val="3"/>
      </rPr>
      <t>»</t>
    </r>
    <r>
      <rPr>
        <sz val="10"/>
        <color indexed="8"/>
        <rFont val="GHEA Grapalat"/>
        <family val="3"/>
      </rPr>
      <t xml:space="preserve"> ՓԲԸ </t>
    </r>
  </si>
  <si>
    <t>ջուր</t>
  </si>
  <si>
    <t>օդ</t>
  </si>
  <si>
    <t>թափոն</t>
  </si>
  <si>
    <t>համամասնությունը%</t>
  </si>
  <si>
    <t>Ջրային ավազան վնասակար նյութեր արտանետելու համար վճար</t>
  </si>
  <si>
    <t>ՀՀ պետական բյուջե փաստացի  մուտքեր</t>
  </si>
  <si>
    <t>Օդային ավազան վնասակար նյութեր արտանետելու համար վճար</t>
  </si>
  <si>
    <t xml:space="preserve">Շրջակա միջավայր արտադրության և սպառման թափոնների սահմանված կարգով տեղադրման </t>
  </si>
  <si>
    <t>Համայնքի անվանումը</t>
  </si>
  <si>
    <t>2011թ.</t>
  </si>
  <si>
    <t>2012թ.</t>
  </si>
  <si>
    <t>2013թ.</t>
  </si>
  <si>
    <t>ք. Ախթալա</t>
  </si>
  <si>
    <t>«Ախթալայի լեռնահարստացման կոմբինատ» ՓԲԸ</t>
  </si>
  <si>
    <t>գ.Հաղպատ</t>
  </si>
  <si>
    <t>գ.Օձուն</t>
  </si>
  <si>
    <t>գ. Հագվի</t>
  </si>
  <si>
    <t>ք. Շամլուղ</t>
  </si>
  <si>
    <t>գ. Մեծ Այրում</t>
  </si>
  <si>
    <t>Սյունիքի մարզ</t>
  </si>
  <si>
    <t>ք. Քաջարան</t>
  </si>
  <si>
    <t>ք. Կապան</t>
  </si>
  <si>
    <t>գ.Սյունիք</t>
  </si>
  <si>
    <t>գ.Լեռնաձոր</t>
  </si>
  <si>
    <t>ք.Ագարակ</t>
  </si>
  <si>
    <t>գ.Կարճևան</t>
  </si>
  <si>
    <t>գ.Աճանան</t>
  </si>
  <si>
    <t>«Զանգեզուրի պղնձամոլիբդենային կոմբինատ» ՓԲԸ</t>
  </si>
  <si>
    <t>«Ագարակի պղնձամոլիբդենային կոմբինատ» ՓԲԸ</t>
  </si>
  <si>
    <t>«Դինո  Գոլդ  Մայնինգ Քամփնի» ՓԲԸ</t>
  </si>
  <si>
    <t>գ.Քաջարան</t>
  </si>
  <si>
    <t>ք.Մեղրի</t>
  </si>
  <si>
    <t>գ.Կուրիս</t>
  </si>
  <si>
    <t>գ.Գուդեմնիս</t>
  </si>
  <si>
    <t>գ.Արծվանիկ</t>
  </si>
  <si>
    <t>գ.Սևաքար</t>
  </si>
  <si>
    <t>գ.Գեղանուշ</t>
  </si>
  <si>
    <t>Արարատի մարզ</t>
  </si>
  <si>
    <t>ք. Արարատ</t>
  </si>
  <si>
    <t>«Արարատցեմենտ» ՓԲԸ</t>
  </si>
  <si>
    <t>«Գեոպրոմայնինգ Գոլդ» ՍՊԸ</t>
  </si>
  <si>
    <t>Կոտայքի մարզ</t>
  </si>
  <si>
    <t>ք. Հրազդան</t>
  </si>
  <si>
    <t>ք.Ծաղկաձոր</t>
  </si>
  <si>
    <t>ք. Չարենցավան</t>
  </si>
  <si>
    <t>«Միկա  - Ցեմենտ»   ՓԲԸ</t>
  </si>
  <si>
    <t>«Չարենցավանի Ձուլակենտրոն» ԲԲԸ</t>
  </si>
  <si>
    <t>«Հրազդանի ՋԷԿ»  ՓԲԸ</t>
  </si>
  <si>
    <t>«Ասկե-Գրուպ» ԲԲԸ</t>
  </si>
  <si>
    <t>Արմավիրի մարզ</t>
  </si>
  <si>
    <t>ք. Մեծամոր</t>
  </si>
  <si>
    <t>«Հայկական ատոմային էլեկտրակայան» ՓԲԸ</t>
  </si>
  <si>
    <t>Գեղարքունիքի մարզ</t>
  </si>
  <si>
    <t>գ.Սոթք</t>
  </si>
  <si>
    <t>գ.Աքորի</t>
  </si>
  <si>
    <t>Ստացված սուբվենցիայի գումարը</t>
  </si>
  <si>
    <t>Լոռու մարզ</t>
  </si>
  <si>
    <t>ԸՆԴԱՄԵՆԸ</t>
  </si>
  <si>
    <t>2014թ.</t>
  </si>
  <si>
    <t>2012-2014թթ.</t>
  </si>
  <si>
    <t>2015թ.</t>
  </si>
  <si>
    <t>2016թ.</t>
  </si>
  <si>
    <t>2014թ. Փաստացի տրամադրված սուբվենցիայի գումարը</t>
  </si>
  <si>
    <t>2015թ. ՀՀ պետական բյուջեով նածատեսված սուբվենցիայի գումարը</t>
  </si>
  <si>
    <t>2016թ. համար հաշվարկված սուբվենցիայի գումարը</t>
  </si>
  <si>
    <t>2014-2016թթ.ընթացքում &lt;&lt;Ընկերությունների կողմից վճարվող բնապահպանական վճարների նպատակային օգատգործման մասին&gt;&gt; ՀՀ օրենքի սուբենցիայի տրամադրման վերաբերյալ (հազ. դրամ)</t>
  </si>
  <si>
    <t>հազ. դրամ</t>
  </si>
  <si>
    <t xml:space="preserve">2014-2016թթ.ընթացքում &lt;&lt;Ընկերությունների կողմից վճարվող բնապահպանական վճարների նպատակային օգատգործման մասին&gt;&gt; ՀՀ օրենքի համաձայն սուբենցիայի տրամադրման վերաբերյալ </t>
  </si>
  <si>
    <t>2014 թ. բնապահպանական ծրագրով իրականացված միջոցառումների</t>
  </si>
  <si>
    <t>2015թ. բնապահպանական ծրագրով նախատեսված միջոցառումների</t>
  </si>
  <si>
    <t>Անվանումը</t>
  </si>
  <si>
    <t>Գումարը /հազ. դրամ/</t>
  </si>
  <si>
    <t>ք.Երևան</t>
  </si>
  <si>
    <t>ՀՀ Լոռու մարզ</t>
  </si>
  <si>
    <t>ՀՀ Սյունիքի մարզ</t>
  </si>
  <si>
    <t>ՀՀ Արարատի մարզ</t>
  </si>
  <si>
    <t>ՀՀ Կոտայքի մարզ</t>
  </si>
  <si>
    <t>ՀՀ Արմավիրի մարզ</t>
  </si>
  <si>
    <t>ՀՀ Գեղարքունիքի մարզ</t>
  </si>
  <si>
    <t>2. Ալավերդի համայնքի մշակույթի պալատի հրապարակամերձ տարածքի բարեկարգում և կանաչապատում</t>
  </si>
  <si>
    <t>1. Ալավերդի համայնքի Էնգելս թաղամասում գտնվող զբոսայգու նորոգում</t>
  </si>
  <si>
    <t>3. Ալավերդի համայնքի Սանահին Սարահարթ թաղամասում արհեստական խոտածածկույթի և խաղահրապարակի կառուցում</t>
  </si>
  <si>
    <t>4. Ալավերդի համայնքի Սանահին կայարան թաղամասում արհեստական խոտածածկույթի և խաղահրապարակի կառուցում փողոցներում աղբարկղերի տեղադրում</t>
  </si>
  <si>
    <t>5. Ալավերդի համայնքի կոշտ կենցաղային թափոնների աղբարկղերի ձեռքբերում</t>
  </si>
  <si>
    <t>Մարզի, համայնքի անվանումը</t>
  </si>
  <si>
    <t>Բնապահպանական միջոցառումներ` այդ թվում</t>
  </si>
  <si>
    <t xml:space="preserve">Առողջապահական միջոցառումներ` </t>
  </si>
  <si>
    <t>6.Նախագծա-նախահաշվային աշխատանքներ</t>
  </si>
  <si>
    <t>Ընդամենը ք. Ալավերդի</t>
  </si>
  <si>
    <t>Ընդամենը ք. Ախթալա</t>
  </si>
  <si>
    <t xml:space="preserve">1. Ախթալա համայնքի Աբովյան փողոցի արհեստական խոտածածկով մարզահրապարակի կառուցման աշխատանքներ
</t>
  </si>
  <si>
    <t>Առողջապահական միջոցառումներ</t>
  </si>
  <si>
    <t>Ընդամենը գ.Աքորի</t>
  </si>
  <si>
    <t>1.Համայնքի 1-ին փողոցի փոսային նորոգում</t>
  </si>
  <si>
    <t>2.Համանյքի 8-րդ փողոցի ճանապարհի նորոգում</t>
  </si>
  <si>
    <t xml:space="preserve">3. Համանյքի 2-րդ և 3-րդ փողոցների ասֆալտապատում </t>
  </si>
  <si>
    <t>1. Հաղպատ համայնքի համար կոշտ կենցաղային թափոնների աղբարկղերի ձեռքբերում</t>
  </si>
  <si>
    <t>2. Հաղպատ համայնքի աղբահանության կազմակերպում և տեղափոխում Ալավերդի համայնքի ենթակայության տակ  գտնվող լիցենզավորված աղբավայր</t>
  </si>
  <si>
    <t>Ընդամենը գ.Հաղպատ</t>
  </si>
  <si>
    <t>1.Համայնքի 14-րդ փողոցի և 14-րդ փողոցի  1-ին նրբանցքի 597.8մ երկարությամբ կոյուղագծի կառուցման աշխատանքներ</t>
  </si>
  <si>
    <t>Ընդամենը գ.Օձուն</t>
  </si>
  <si>
    <t>1.Գյուղամիջյան ճանապարհների  փոսային վերանորոգում և ասֆալտապատում</t>
  </si>
  <si>
    <t>Ընդամենը գ.Հագվի</t>
  </si>
  <si>
    <t>Ընդամենը ք.Քաջարան</t>
  </si>
  <si>
    <t>1. Քաղաքի կանաչ գոտիների վերականգնում և ընդլայնում</t>
  </si>
  <si>
    <t>2. Էկոլոգիական կրթության զարգացում և տեղեկատվություն</t>
  </si>
  <si>
    <t>3. Քաղաքացիական հասարակության ձևավորում</t>
  </si>
  <si>
    <t xml:space="preserve">1 Կապան քաղաքային համայնքի Ա.Մանուկյան փողոցի մայթերի ծառատնկման կանաչ տարածքների վերականգնման, բարեկարգման և վերանորոգման աշխատանքներ </t>
  </si>
  <si>
    <t>Ընդամենը ք.Կապան</t>
  </si>
  <si>
    <t>Ընդամենը ք.Ագարակ</t>
  </si>
  <si>
    <t>Բնապահպանական միջոցառումներ`</t>
  </si>
  <si>
    <t>Ընդամենը ք. Չարենցավան</t>
  </si>
  <si>
    <t xml:space="preserve">3. Հաղպատ համայնքի ներհամայնքային ճանապարհների ասֆալտապատում </t>
  </si>
  <si>
    <t>Ընդամենը գ. Սյունիք</t>
  </si>
  <si>
    <t>Ընդամենը ք. Ծաղկաձոր</t>
  </si>
  <si>
    <t>Ընդամենը ք. Հրազդան</t>
  </si>
  <si>
    <t>Երևան քաղաքի Աջափնյակ և Շենգավիթ վարչական շրջաններում կանաչ տարածքների  հիմնում ու վերականգնում</t>
  </si>
  <si>
    <t xml:space="preserve">1. Ալավերդի համայնքի Էնգելս թաղամասում գտնվող զբոսայգու տարածքի հիմնանորոգում /ծրագրի 2-րդ փուլ/
</t>
  </si>
  <si>
    <t>2.Ալավերդի համայնքի Ակներ գյուղական թաղամասի ջրամատակարարման ցանցի կառուցում</t>
  </si>
  <si>
    <t>3.Ալավերդի համայնքի Զորավար Անդրանիկ փողոցի կոյուղագծի կառուցում</t>
  </si>
  <si>
    <t>4. Ալավերդի համայնքում կանաչապատ տարածքների վերականգնում և ընդլայնում</t>
  </si>
  <si>
    <t>5. Ալավերդի համայնքի տարածքում գտնվող վտանգավոր թափոնների /մկնդեղի/ գերեզմանոցի բնապահպանական ռիսկերի գնահատում և անվտանգությունն ապահովող միջոցառումների նախագծա-նախահաշվային փաստաթղթերի մշակում</t>
  </si>
  <si>
    <t>1. Համայնքի 5-րդ փողոցի ասֆալտապատում</t>
  </si>
  <si>
    <t>Բնապահպանական միջոցառումներ</t>
  </si>
  <si>
    <t>1. Խմելու ջրագծի և ներքին ցանցի կառուցում /ներառյալ նախագծի պատվիրում և տեխհսկողություն/</t>
  </si>
  <si>
    <t>2. Էկոլոգիական կրթության զարգացում, տեղեկատվություն, իրազեկում</t>
  </si>
  <si>
    <t xml:space="preserve">1.Կապան քաղաքային համայնքի Ա.Մանուկյան փողոցի մայթերի ծառատնկման կանաչ տարածքների վերականգնման, բարեկարգման և վերանորոգման աշխատանքներ </t>
  </si>
  <si>
    <t>1. Համայնքի տարածքում գտնվող լոգերի մաքրում</t>
  </si>
  <si>
    <t>1.Փոշեհավաք մեքենայի ձեռքբերում</t>
  </si>
  <si>
    <t>Ընդամենը ք. Արարատ</t>
  </si>
  <si>
    <t>Ընդամենը ք.Կարճևան</t>
  </si>
  <si>
    <t>1.Փոքր աղբարկղերի ձեռքբերում և տեղադրում</t>
  </si>
  <si>
    <t xml:space="preserve">1.Ծաղկաձոր քաղաքի նորակառույց ճեմուղու հարակից տարածքների կանաչապատում </t>
  </si>
  <si>
    <t>2. Մացառուտների մշակում և կոճղաշիվային վերաճի օժանդակման աշխատանքների իրականացում</t>
  </si>
  <si>
    <t>1. Դեկորատիվ ծառերի տնկում</t>
  </si>
  <si>
    <t>Ընդամենը ք. Մեծամոր</t>
  </si>
  <si>
    <t>1.Քաղաքի անտառաշերտի և կանաչապատ տարածքների ոռոգման ջրագծի անցկացում</t>
  </si>
  <si>
    <t>2.Քաղաքի բակերի կանաչապատում</t>
  </si>
  <si>
    <t>1.Սոթք գյուղի կենտրոնական մասում ավերակների վերածված շինությունների և բակերի մաքրում ու բարեկարգում, ծառատնկում, հանգստի անկյան և մանկական խաղահրապարակի կառուցում</t>
  </si>
  <si>
    <t xml:space="preserve"> &lt;&lt;Ընկերությունների կողմից վճարվող բնապահպանական վճարների նպատակային օգատգործման մասին&gt;&gt; ՀՀ օրենքի համաձայն 2014-2015թթ. ընթացքում ազդակիր համայնքներին հատկացված /հատկացվելիք/ սուբվենցիաների և համապատասխան բնապահպանական ծրագրերի վերաբերյալ</t>
  </si>
  <si>
    <t>Տ Ե Ղ Կ Ա Ն Ք</t>
  </si>
  <si>
    <t>/հազ.դրամ/</t>
  </si>
  <si>
    <t>NN</t>
  </si>
  <si>
    <t xml:space="preserve">Ընդամենը </t>
  </si>
  <si>
    <t>այդ թվում` բյուջետային ծախսերի տնտեսագիտական դասակարգման հոդվածներ</t>
  </si>
  <si>
    <t>Ընթացիկ սուբվենցիաներ համայնքներին</t>
  </si>
  <si>
    <t>Կապիտալ սուբվենցիաներ համայնքներին</t>
  </si>
  <si>
    <t>այդ թվում`</t>
  </si>
  <si>
    <t xml:space="preserve">գ. Օձուն </t>
  </si>
  <si>
    <t xml:space="preserve">Սյունիքի մարզ </t>
  </si>
  <si>
    <t xml:space="preserve">Կոտայքի մարզ </t>
  </si>
  <si>
    <t>ք.Չարենցավան</t>
  </si>
  <si>
    <t xml:space="preserve">Ընթացիկ </t>
  </si>
  <si>
    <t xml:space="preserve">Կապիտալ </t>
  </si>
  <si>
    <t>1-ին եռամսյակ</t>
  </si>
  <si>
    <t>2-րդ եռամսյակ</t>
  </si>
  <si>
    <t>3-րդ եռամսյակ</t>
  </si>
  <si>
    <t>4-րդ եռամսյակ</t>
  </si>
  <si>
    <t>&lt;&lt;Հայաստանի Հանրապետության 2016 թվականի պետական բյուջեի մասին&gt;&gt; Հայաստանի Հանրապետության օրենքի N 1 հավելվածի 05 բաժնի 06 խմբի 01 դասի &lt;&lt;&lt;&lt;Ընկերությունների կողմից վճարվող բնապահպանական վճարների նպատակային օգտագործման մասին&gt;&gt; Հայաստանի Հանրապետության օրենքի համաձայն բնապահպանական ծրագրերի իրականացման համար Հայաստանի Հանրապետության համայնքներին սուբվենցիաների տրամադրում&gt;&gt; ծրագրի շրջանակներում սուբվենցիաներ ստացող համայնքների վերաբերյալ` ըստ եռամսյակային բաշխման</t>
  </si>
  <si>
    <t>9 ամիս</t>
  </si>
  <si>
    <t>1-ին կիսամյակ</t>
  </si>
  <si>
    <t>2015թ. ՀՀ պետական բյուջեով նախատեսված սուբվենցիայի գումարը</t>
  </si>
  <si>
    <t>Name of the community</t>
  </si>
  <si>
    <t xml:space="preserve">Payments charged for discharge of hazardous wastes and compounds into water basin  </t>
  </si>
  <si>
    <t>Payments charged for discharge of hazardous wastes into air</t>
  </si>
  <si>
    <t>Payments for disposal of environmentally hazardous production and consumption wastes in compliance with the defined order</t>
  </si>
  <si>
    <t>TOTAL</t>
  </si>
  <si>
    <t>The amount of received subventions</t>
  </si>
  <si>
    <t>Yerevan city</t>
  </si>
  <si>
    <t>water</t>
  </si>
  <si>
    <t>air</t>
  </si>
  <si>
    <t>wastes</t>
  </si>
  <si>
    <t>Yerevan TPP CJSC</t>
  </si>
  <si>
    <t xml:space="preserve">Gajegorts CJSC </t>
  </si>
  <si>
    <t>Gaj CJSC</t>
  </si>
  <si>
    <t>Nairit Plant CJSC</t>
  </si>
  <si>
    <t>LORI REGION</t>
  </si>
  <si>
    <t>Alaverdi</t>
  </si>
  <si>
    <t>Akhtala</t>
  </si>
  <si>
    <t>Akori</t>
  </si>
  <si>
    <t>Armenia Cooper Programm CJSC</t>
  </si>
  <si>
    <t>Haghpat</t>
  </si>
  <si>
    <t>Odzun</t>
  </si>
  <si>
    <t>Shamlugh</t>
  </si>
  <si>
    <t>Mets Ayrum</t>
  </si>
  <si>
    <t>SYUNIK REGION</t>
  </si>
  <si>
    <t>Kajaran</t>
  </si>
  <si>
    <t>Kapan</t>
  </si>
  <si>
    <t>Syunik village</t>
  </si>
  <si>
    <t>Lernadzor</t>
  </si>
  <si>
    <t>Agarak</t>
  </si>
  <si>
    <t>Karchevan</t>
  </si>
  <si>
    <t>Achanan</t>
  </si>
  <si>
    <t>Meghri</t>
  </si>
  <si>
    <t>Kuris</t>
  </si>
  <si>
    <t>Gudemnis</t>
  </si>
  <si>
    <t>Artsvanik</t>
  </si>
  <si>
    <t>Sevakar</t>
  </si>
  <si>
    <t>Geghanush</t>
  </si>
  <si>
    <t>ARARAT REGION</t>
  </si>
  <si>
    <t xml:space="preserve">Ararat </t>
  </si>
  <si>
    <t>KOTAYK REGION</t>
  </si>
  <si>
    <t>Hrazdan</t>
  </si>
  <si>
    <t>Tsaghkadzor</t>
  </si>
  <si>
    <t>Charencavan</t>
  </si>
  <si>
    <t>Metsamor</t>
  </si>
  <si>
    <t>GEGHARKUNIK REGION</t>
  </si>
  <si>
    <t>ARAMAVIR REGION</t>
  </si>
  <si>
    <t>Sotk</t>
  </si>
  <si>
    <t xml:space="preserve">Akhtala Mining And Processing Enterprise CJSC </t>
  </si>
  <si>
    <t>Armenia Molybdenum Production LLS</t>
  </si>
  <si>
    <t>Mika- Cement CJSC</t>
  </si>
  <si>
    <t>CALCULATION</t>
  </si>
  <si>
    <t xml:space="preserve"> Proportion (%)</t>
  </si>
  <si>
    <t>2012-2014</t>
  </si>
  <si>
    <t>2016=(2012+2013+2014)-(2014+2015)</t>
  </si>
  <si>
    <t xml:space="preserve">Armenia Cooper Programm CJSC </t>
  </si>
  <si>
    <t>Hagvi village</t>
  </si>
  <si>
    <t>Zangezur CopperMolybdenum Combine CJSC</t>
  </si>
  <si>
    <t xml:space="preserve">Deno Gold Mining Company CJSC </t>
  </si>
  <si>
    <r>
      <rPr>
        <sz val="11"/>
        <color indexed="63"/>
        <rFont val="Caliblri  "/>
      </rPr>
      <t xml:space="preserve">Deno Gold Mining Company </t>
    </r>
    <r>
      <rPr>
        <sz val="11"/>
        <color indexed="8"/>
        <rFont val="Caliblri  "/>
      </rPr>
      <t xml:space="preserve">CJSC </t>
    </r>
  </si>
  <si>
    <t>Armenian Nuclear Power Plant (HAEK) CJSC</t>
  </si>
  <si>
    <t xml:space="preserve"> Agarak Copper Molybdenum Combine  CJSC</t>
  </si>
  <si>
    <t xml:space="preserve"> Araratcement  CJSC</t>
  </si>
  <si>
    <t xml:space="preserve"> Geopromining Gold   LLC</t>
  </si>
  <si>
    <t xml:space="preserve"> Mika-Cement  CJSC</t>
  </si>
  <si>
    <t xml:space="preserve"> Hrazdan TPP  CJSC</t>
  </si>
  <si>
    <t xml:space="preserve"> Charencavani  Dzulakentron  OJSC </t>
  </si>
  <si>
    <t xml:space="preserve"> ASCE Group  OJSC</t>
  </si>
  <si>
    <t>thousand AMD</t>
  </si>
  <si>
    <t>Amount of the received subvention</t>
  </si>
  <si>
    <t>Payments for disposal of environmentally hazardous production and consumption wastes in compliance with the defined orde</t>
  </si>
  <si>
    <t>aire</t>
  </si>
  <si>
    <t>waste</t>
  </si>
  <si>
    <t>LORI Region</t>
  </si>
  <si>
    <t>Haghvi</t>
  </si>
  <si>
    <t>Chochkan</t>
  </si>
  <si>
    <t>Neghoc</t>
  </si>
  <si>
    <t>Karkop</t>
  </si>
  <si>
    <t>Shnogh</t>
  </si>
  <si>
    <t>SYUNIK Region</t>
  </si>
  <si>
    <t>Chapni</t>
  </si>
  <si>
    <t>ARARAT Region</t>
  </si>
  <si>
    <t>Ararat</t>
  </si>
  <si>
    <t>KOTAYK Region</t>
  </si>
  <si>
    <t>ARMAVIR Region</t>
  </si>
  <si>
    <t>GEGHARKUNIK Region</t>
  </si>
  <si>
    <t>TAVUSH Region</t>
  </si>
  <si>
    <t>Debedavan</t>
  </si>
  <si>
    <t>Ptghavan</t>
  </si>
  <si>
    <t>Archis</t>
  </si>
  <si>
    <t>Deghdzavan</t>
  </si>
  <si>
    <t>Zorakan</t>
  </si>
  <si>
    <t>Lchkadzor</t>
  </si>
  <si>
    <t>Berdavan</t>
  </si>
  <si>
    <t>Haghtanak</t>
  </si>
  <si>
    <t>Bagratashen</t>
  </si>
  <si>
    <t>Ayrum</t>
  </si>
  <si>
    <t>The amount of the subventions according to theLaw “On Targeted Use of Environmental Payments Made by Companies” for 2016</t>
  </si>
  <si>
    <t>2013-2015</t>
  </si>
  <si>
    <t>2017=(2013+2014+2015)-(2015+2016)</t>
  </si>
  <si>
    <t xml:space="preserve"> Armenian Copper Programme  CJSC</t>
  </si>
  <si>
    <t xml:space="preserve"> Akhtala Mining And Processing Enterprise  CJSC </t>
  </si>
  <si>
    <t xml:space="preserve"> Zangezur CopperMolybdenum Combine CJSC</t>
  </si>
  <si>
    <t xml:space="preserve"> Dundee Precious Metals Kapan  CJSC</t>
  </si>
  <si>
    <t xml:space="preserve"> Hrazdan-Cement  CJSC</t>
  </si>
  <si>
    <t xml:space="preserve"> Charencavani  Dzulakentron  OJSC</t>
  </si>
  <si>
    <t xml:space="preserve"> Armenian Nuclear Power Plant (HAEK) CJSC</t>
  </si>
  <si>
    <t xml:space="preserve"> ASCE Group OJSC</t>
  </si>
  <si>
    <t>Tha amount of the subventions according to the Law “On Targeted Use of Environmental Payments Made by Companies” for 2017</t>
  </si>
  <si>
    <t>Proportion (%)</t>
  </si>
  <si>
    <t xml:space="preserve">Plant of Pure Iron OJSC  </t>
  </si>
  <si>
    <r>
      <rPr>
        <sz val="10"/>
        <color indexed="63"/>
        <rFont val="Caliblri  "/>
      </rPr>
      <t>Deno Gold Mining Company</t>
    </r>
    <r>
      <rPr>
        <sz val="10"/>
        <color indexed="8"/>
        <rFont val="Caliblri  "/>
      </rPr>
      <t xml:space="preserve"> CJSC </t>
    </r>
  </si>
  <si>
    <t xml:space="preserve">Plant of Pure Iron OJSC </t>
  </si>
  <si>
    <t>Amount of received subventions</t>
  </si>
  <si>
    <t>The amount allocated to community</t>
  </si>
  <si>
    <t>Thaghkadzor</t>
  </si>
  <si>
    <t>գ. Դեբեդավան</t>
  </si>
  <si>
    <t>գ. Պտղավան</t>
  </si>
  <si>
    <t>գ. Արճիս</t>
  </si>
  <si>
    <t>գ. Դեղձավան</t>
  </si>
  <si>
    <t>Koghb</t>
  </si>
  <si>
    <t>գ. Լճկաձոր</t>
  </si>
  <si>
    <t>Noyemberyan</t>
  </si>
  <si>
    <t>գ. Հաղթանակ</t>
  </si>
  <si>
    <t>գ. Բագրատաշեն</t>
  </si>
  <si>
    <t>2014-2016</t>
  </si>
  <si>
    <t>2018=(2014+2015+2016)-(2016+2017)</t>
  </si>
  <si>
    <t>Tha amount of the subventions according to the Law “On Targeted Use of Environmental Payments Made by Companies” for 2018</t>
  </si>
  <si>
    <r>
      <t>«Արմենիա Քափր Փրոգրամ</t>
    </r>
    <r>
      <rPr>
        <sz val="12"/>
        <color indexed="8"/>
        <rFont val="Calibri"/>
        <family val="2"/>
      </rPr>
      <t>»</t>
    </r>
    <r>
      <rPr>
        <sz val="10"/>
        <color indexed="8"/>
        <rFont val="Calibri"/>
        <family val="2"/>
      </rPr>
      <t xml:space="preserve"> ՓԲԸ </t>
    </r>
  </si>
  <si>
    <t>  Yerevan Thermal Power Plant  CJSC</t>
  </si>
  <si>
    <t xml:space="preserve"> Gajegorts  CJSC</t>
  </si>
  <si>
    <t xml:space="preserve"> Gaj CJSC</t>
  </si>
  <si>
    <t xml:space="preserve"> Armenian Molybdenum Production  LTD</t>
  </si>
  <si>
    <t xml:space="preserve"> Plant of Pure Iron  OJSC</t>
  </si>
  <si>
    <t xml:space="preserve"> Nairit Plant  CJSC</t>
  </si>
  <si>
    <t>Akhtala Mining and Processing Plant  CJSC</t>
  </si>
  <si>
    <t xml:space="preserve"> Kapan Mining and Processing Plant  CJSC</t>
  </si>
  <si>
    <t xml:space="preserve"> Hrazdan-Cement   CJSC</t>
  </si>
  <si>
    <t>գ. Ճոճկան</t>
  </si>
  <si>
    <t>գ. Նեղոց</t>
  </si>
  <si>
    <t>գ. Քարկոպ</t>
  </si>
  <si>
    <t xml:space="preserve">«Արմենիան Քափըր Փրոգրամ» ՓԲԸ </t>
  </si>
  <si>
    <t>«Կապանի ԼՀԿ» ՓԲԸ</t>
  </si>
  <si>
    <t>գ. Չափնի</t>
  </si>
  <si>
    <t>Thakghadzor</t>
  </si>
  <si>
    <t>Geghamasar</t>
  </si>
  <si>
    <t>Tha amount of the subventions according to the Law “On Targeted Use of Environmental Payments Made by Companies” for 2019</t>
  </si>
  <si>
    <t>2015-2017</t>
  </si>
  <si>
    <t>2019=(2015+2016+2017)-(2017+2018)</t>
  </si>
  <si>
    <r>
      <t>«Արմենիան Քափըր Փրոգրամ</t>
    </r>
    <r>
      <rPr>
        <sz val="12"/>
        <color indexed="8"/>
        <rFont val="Calibri"/>
        <family val="2"/>
      </rPr>
      <t>»</t>
    </r>
    <r>
      <rPr>
        <sz val="10"/>
        <color indexed="8"/>
        <rFont val="Calibri"/>
        <family val="2"/>
      </rPr>
      <t xml:space="preserve"> ՓԲԸ </t>
    </r>
  </si>
  <si>
    <t xml:space="preserve">  Armenia Cooper Programm  CJSC</t>
  </si>
  <si>
    <t>Actual revenues to the RA State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</si>
</sst>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3" formatCode="_(* #,##0.00_);_(* \(#,##0.00\);_(* &quot;-&quot;??_);_(@_)"/>
    <numFmt numFmtId="174" formatCode="#,##0.0"/>
    <numFmt numFmtId="179" formatCode="0.0"/>
    <numFmt numFmtId="182" formatCode="0.0000"/>
    <numFmt numFmtId="183" formatCode="0.00_ ;[Red]\-0.00\ "/>
    <numFmt numFmtId="184" formatCode="_(* #,##0.0_);_(* \(#,##0.0\);_(* &quot;-&quot;?_);_(@_)"/>
    <numFmt numFmtId="187" formatCode="0.0_ ;[Red]\-0.0\ "/>
    <numFmt numFmtId="201" formatCode="#,##0.0_);\(#,##0.0\)"/>
  </numFmts>
  <fonts count="100">
    <font>
      <sz val="10"/>
      <color indexed="8"/>
      <name val="Arial"/>
    </font>
    <font>
      <sz val="10"/>
      <color indexed="8"/>
      <name val="Arial LatArm"/>
      <family val="2"/>
    </font>
    <font>
      <sz val="8"/>
      <name val="Arial"/>
      <family val="2"/>
    </font>
    <font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sz val="11"/>
      <color indexed="8"/>
      <name val="GHEA Grapalat"/>
      <family val="3"/>
    </font>
    <font>
      <b/>
      <sz val="14"/>
      <name val="GHEA Grapalat"/>
      <family val="3"/>
    </font>
    <font>
      <b/>
      <sz val="14"/>
      <color indexed="8"/>
      <name val="GHEA Grapalat"/>
      <family val="3"/>
    </font>
    <font>
      <sz val="14"/>
      <color indexed="8"/>
      <name val="GHEA Grapalat"/>
      <family val="3"/>
    </font>
    <font>
      <b/>
      <i/>
      <sz val="10"/>
      <color indexed="8"/>
      <name val="GHEA Grapalat"/>
      <family val="3"/>
    </font>
    <font>
      <b/>
      <sz val="13"/>
      <color indexed="8"/>
      <name val="GHEA Grapalat"/>
      <family val="3"/>
    </font>
    <font>
      <b/>
      <i/>
      <sz val="11"/>
      <color indexed="8"/>
      <name val="GHEA Grapalat"/>
      <family val="3"/>
    </font>
    <font>
      <sz val="10"/>
      <name val="GHEA Grapalat"/>
      <family val="3"/>
    </font>
    <font>
      <b/>
      <sz val="16"/>
      <color indexed="8"/>
      <name val="GHEA Grapalat"/>
      <family val="3"/>
    </font>
    <font>
      <sz val="12"/>
      <color indexed="8"/>
      <name val="Arial LatArm"/>
      <family val="2"/>
    </font>
    <font>
      <sz val="14"/>
      <color indexed="8"/>
      <name val="Arial LatArm"/>
      <family val="2"/>
    </font>
    <font>
      <b/>
      <sz val="11"/>
      <name val="GHEA Grapalat"/>
      <family val="3"/>
    </font>
    <font>
      <b/>
      <i/>
      <sz val="10"/>
      <color indexed="10"/>
      <name val="GHEA Grapalat"/>
      <family val="3"/>
    </font>
    <font>
      <b/>
      <sz val="10"/>
      <name val="GHEA Grapalat"/>
      <family val="3"/>
    </font>
    <font>
      <sz val="11"/>
      <name val="Times Armenian"/>
      <family val="1"/>
    </font>
    <font>
      <sz val="11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11"/>
      <color indexed="8"/>
      <name val="Caliblri  "/>
    </font>
    <font>
      <sz val="12"/>
      <color indexed="8"/>
      <name val="Caliblri  "/>
    </font>
    <font>
      <sz val="10"/>
      <color indexed="8"/>
      <name val="Caliblri  "/>
    </font>
    <font>
      <b/>
      <sz val="10"/>
      <color indexed="8"/>
      <name val="Caliblri  "/>
    </font>
    <font>
      <b/>
      <sz val="12"/>
      <color indexed="8"/>
      <name val="Caliblri  "/>
    </font>
    <font>
      <b/>
      <sz val="11"/>
      <color indexed="8"/>
      <name val="Caliblri  "/>
    </font>
    <font>
      <b/>
      <sz val="14"/>
      <color indexed="8"/>
      <name val="Caliblri  "/>
    </font>
    <font>
      <sz val="11"/>
      <color indexed="63"/>
      <name val="Caliblri  "/>
    </font>
    <font>
      <sz val="14"/>
      <color indexed="8"/>
      <name val="Caliblri  "/>
    </font>
    <font>
      <i/>
      <sz val="10"/>
      <color indexed="8"/>
      <name val="Caliblri  "/>
    </font>
    <font>
      <sz val="11"/>
      <color indexed="8"/>
      <name val="Calibri  "/>
    </font>
    <font>
      <sz val="12"/>
      <color indexed="8"/>
      <name val="Calibri  "/>
    </font>
    <font>
      <sz val="10"/>
      <color indexed="8"/>
      <name val="Calibri  "/>
    </font>
    <font>
      <b/>
      <sz val="10"/>
      <color indexed="8"/>
      <name val="Calibri  "/>
    </font>
    <font>
      <b/>
      <sz val="12"/>
      <color indexed="8"/>
      <name val="Calibri  "/>
    </font>
    <font>
      <b/>
      <sz val="11"/>
      <color indexed="8"/>
      <name val="Calibri  "/>
    </font>
    <font>
      <b/>
      <sz val="14"/>
      <color indexed="8"/>
      <name val="Calibri  "/>
    </font>
    <font>
      <i/>
      <sz val="10"/>
      <color indexed="8"/>
      <name val="Calibri  "/>
    </font>
    <font>
      <sz val="10"/>
      <color indexed="63"/>
      <name val="Caliblri  "/>
    </font>
    <font>
      <b/>
      <sz val="10"/>
      <name val="Calibri  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GHEA Grapalat"/>
      <family val="3"/>
    </font>
    <font>
      <b/>
      <sz val="12"/>
      <color rgb="FF000000"/>
      <name val="GHEA Grapalat"/>
      <family val="3"/>
    </font>
    <font>
      <sz val="10"/>
      <color rgb="FFFF0000"/>
      <name val="GHEA Grapalat"/>
      <family val="3"/>
    </font>
    <font>
      <b/>
      <sz val="10"/>
      <color rgb="FFFF0000"/>
      <name val="Caliblri  "/>
    </font>
    <font>
      <b/>
      <sz val="12"/>
      <color rgb="FFC00000"/>
      <name val="Caliblri  "/>
    </font>
    <font>
      <sz val="10"/>
      <color theme="1"/>
      <name val="GHEA Grapalat"/>
      <family val="3"/>
    </font>
    <font>
      <sz val="11"/>
      <color theme="1"/>
      <name val="Calibri  "/>
    </font>
    <font>
      <sz val="10"/>
      <color theme="1"/>
      <name val="Calibri  "/>
    </font>
    <font>
      <sz val="12"/>
      <color theme="1"/>
      <name val="Calibri  "/>
    </font>
    <font>
      <b/>
      <sz val="12"/>
      <color theme="1"/>
      <name val="Calibri  "/>
    </font>
    <font>
      <b/>
      <sz val="14"/>
      <color rgb="FFC00000"/>
      <name val="Calibri  "/>
    </font>
    <font>
      <b/>
      <sz val="10"/>
      <color rgb="FFFF0000"/>
      <name val="Calibri  "/>
    </font>
    <font>
      <b/>
      <sz val="11"/>
      <color rgb="FFFF0000"/>
      <name val="Calibri  "/>
    </font>
    <font>
      <sz val="10"/>
      <color rgb="FF444444"/>
      <name val="Calibri  "/>
    </font>
    <font>
      <b/>
      <sz val="10"/>
      <color theme="1"/>
      <name val="Calibri  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b/>
      <sz val="10"/>
      <color theme="7" tint="-0.249977111117893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2" fontId="5" fillId="0" borderId="0"/>
    <xf numFmtId="0" fontId="5" fillId="0" borderId="0"/>
    <xf numFmtId="0" fontId="23" fillId="0" borderId="0"/>
  </cellStyleXfs>
  <cellXfs count="1374">
    <xf numFmtId="0" fontId="0" fillId="0" borderId="0" xfId="0"/>
    <xf numFmtId="0" fontId="1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17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74" fontId="3" fillId="0" borderId="0" xfId="0" applyNumberFormat="1" applyFont="1" applyBorder="1"/>
    <xf numFmtId="0" fontId="0" fillId="0" borderId="0" xfId="0" applyBorder="1"/>
    <xf numFmtId="0" fontId="1" fillId="0" borderId="1" xfId="0" applyFont="1" applyBorder="1"/>
    <xf numFmtId="174" fontId="3" fillId="0" borderId="3" xfId="0" applyNumberFormat="1" applyFont="1" applyBorder="1"/>
    <xf numFmtId="0" fontId="3" fillId="0" borderId="0" xfId="0" applyFont="1" applyAlignment="1">
      <alignment wrapText="1"/>
    </xf>
    <xf numFmtId="174" fontId="3" fillId="4" borderId="1" xfId="0" applyNumberFormat="1" applyFont="1" applyFill="1" applyBorder="1" applyAlignment="1">
      <alignment horizontal="center" vertical="center" wrapText="1"/>
    </xf>
    <xf numFmtId="174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7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74" fontId="3" fillId="5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4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74" fontId="3" fillId="0" borderId="0" xfId="0" applyNumberFormat="1" applyFont="1" applyAlignment="1">
      <alignment wrapText="1"/>
    </xf>
    <xf numFmtId="0" fontId="3" fillId="7" borderId="0" xfId="0" applyFont="1" applyFill="1" applyAlignment="1">
      <alignment wrapText="1"/>
    </xf>
    <xf numFmtId="0" fontId="3" fillId="7" borderId="1" xfId="0" applyFont="1" applyFill="1" applyBorder="1" applyAlignment="1">
      <alignment horizontal="center" vertical="center" wrapText="1"/>
    </xf>
    <xf numFmtId="179" fontId="3" fillId="7" borderId="1" xfId="0" applyNumberFormat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top" wrapText="1"/>
    </xf>
    <xf numFmtId="0" fontId="3" fillId="7" borderId="5" xfId="0" applyFont="1" applyFill="1" applyBorder="1" applyAlignment="1">
      <alignment horizontal="center" vertical="center" wrapText="1"/>
    </xf>
    <xf numFmtId="174" fontId="3" fillId="7" borderId="5" xfId="0" applyNumberFormat="1" applyFont="1" applyFill="1" applyBorder="1" applyAlignment="1">
      <alignment horizontal="center" vertical="center"/>
    </xf>
    <xf numFmtId="179" fontId="3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vertical="top" wrapText="1"/>
    </xf>
    <xf numFmtId="174" fontId="3" fillId="7" borderId="1" xfId="0" applyNumberFormat="1" applyFont="1" applyFill="1" applyBorder="1" applyAlignment="1">
      <alignment horizontal="center" vertical="center"/>
    </xf>
    <xf numFmtId="174" fontId="3" fillId="7" borderId="1" xfId="0" applyNumberFormat="1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vertical="top" wrapText="1"/>
    </xf>
    <xf numFmtId="0" fontId="3" fillId="7" borderId="3" xfId="0" applyFont="1" applyFill="1" applyBorder="1" applyAlignment="1">
      <alignment horizontal="center" vertical="center" wrapText="1"/>
    </xf>
    <xf numFmtId="174" fontId="3" fillId="7" borderId="3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vertical="top" wrapText="1"/>
    </xf>
    <xf numFmtId="174" fontId="4" fillId="7" borderId="5" xfId="0" applyNumberFormat="1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wrapText="1"/>
    </xf>
    <xf numFmtId="0" fontId="7" fillId="7" borderId="6" xfId="0" applyFont="1" applyFill="1" applyBorder="1" applyAlignment="1">
      <alignment vertical="top" wrapText="1"/>
    </xf>
    <xf numFmtId="174" fontId="4" fillId="7" borderId="1" xfId="0" applyNumberFormat="1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wrapText="1"/>
    </xf>
    <xf numFmtId="179" fontId="7" fillId="7" borderId="1" xfId="0" applyNumberFormat="1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left" vertical="top" wrapText="1"/>
    </xf>
    <xf numFmtId="174" fontId="6" fillId="7" borderId="1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179" fontId="3" fillId="7" borderId="8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10" fillId="7" borderId="9" xfId="0" applyFont="1" applyFill="1" applyBorder="1" applyAlignment="1">
      <alignment vertical="top" wrapText="1"/>
    </xf>
    <xf numFmtId="0" fontId="10" fillId="7" borderId="10" xfId="0" applyFont="1" applyFill="1" applyBorder="1" applyAlignment="1">
      <alignment horizontal="center" vertical="center" wrapText="1"/>
    </xf>
    <xf numFmtId="179" fontId="3" fillId="7" borderId="3" xfId="0" applyNumberFormat="1" applyFont="1" applyFill="1" applyBorder="1" applyAlignment="1">
      <alignment horizontal="center" vertical="center" wrapText="1"/>
    </xf>
    <xf numFmtId="179" fontId="3" fillId="7" borderId="5" xfId="0" applyNumberFormat="1" applyFont="1" applyFill="1" applyBorder="1" applyAlignment="1">
      <alignment horizontal="center" vertical="center" wrapText="1"/>
    </xf>
    <xf numFmtId="174" fontId="10" fillId="7" borderId="11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1" fillId="7" borderId="12" xfId="0" applyFont="1" applyFill="1" applyBorder="1"/>
    <xf numFmtId="0" fontId="12" fillId="7" borderId="13" xfId="0" applyFont="1" applyFill="1" applyBorder="1" applyAlignment="1">
      <alignment horizontal="center" vertical="center" wrapText="1"/>
    </xf>
    <xf numFmtId="174" fontId="7" fillId="7" borderId="14" xfId="0" applyNumberFormat="1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174" fontId="7" fillId="7" borderId="16" xfId="0" applyNumberFormat="1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wrapText="1"/>
    </xf>
    <xf numFmtId="0" fontId="3" fillId="7" borderId="8" xfId="0" applyFont="1" applyFill="1" applyBorder="1" applyAlignment="1">
      <alignment horizontal="center" wrapText="1"/>
    </xf>
    <xf numFmtId="174" fontId="11" fillId="7" borderId="11" xfId="0" applyNumberFormat="1" applyFont="1" applyFill="1" applyBorder="1" applyAlignment="1">
      <alignment horizontal="center" vertical="center" wrapText="1"/>
    </xf>
    <xf numFmtId="174" fontId="3" fillId="7" borderId="3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left" vertical="top" wrapText="1"/>
    </xf>
    <xf numFmtId="0" fontId="11" fillId="7" borderId="18" xfId="0" applyFont="1" applyFill="1" applyBorder="1" applyAlignment="1">
      <alignment vertical="top" wrapText="1"/>
    </xf>
    <xf numFmtId="0" fontId="12" fillId="7" borderId="19" xfId="0" applyFont="1" applyFill="1" applyBorder="1" applyAlignment="1">
      <alignment horizontal="center" vertical="center" wrapText="1"/>
    </xf>
    <xf numFmtId="174" fontId="11" fillId="7" borderId="19" xfId="0" applyNumberFormat="1" applyFont="1" applyFill="1" applyBorder="1" applyAlignment="1">
      <alignment horizontal="center" vertical="center" wrapText="1"/>
    </xf>
    <xf numFmtId="179" fontId="12" fillId="7" borderId="5" xfId="0" applyNumberFormat="1" applyFont="1" applyFill="1" applyBorder="1" applyAlignment="1">
      <alignment horizontal="center" vertical="center" wrapText="1"/>
    </xf>
    <xf numFmtId="174" fontId="11" fillId="7" borderId="16" xfId="0" applyNumberFormat="1" applyFont="1" applyFill="1" applyBorder="1" applyAlignment="1">
      <alignment horizontal="center" vertical="center" wrapText="1"/>
    </xf>
    <xf numFmtId="0" fontId="3" fillId="7" borderId="20" xfId="0" applyFont="1" applyFill="1" applyBorder="1"/>
    <xf numFmtId="0" fontId="3" fillId="7" borderId="21" xfId="0" applyFont="1" applyFill="1" applyBorder="1" applyAlignment="1">
      <alignment horizontal="center" vertical="center" wrapText="1"/>
    </xf>
    <xf numFmtId="179" fontId="3" fillId="7" borderId="21" xfId="0" applyNumberFormat="1" applyFont="1" applyFill="1" applyBorder="1" applyAlignment="1">
      <alignment horizontal="center" vertical="center" wrapText="1"/>
    </xf>
    <xf numFmtId="0" fontId="6" fillId="0" borderId="0" xfId="0" applyFont="1"/>
    <xf numFmtId="3" fontId="6" fillId="0" borderId="0" xfId="0" applyNumberFormat="1" applyFont="1"/>
    <xf numFmtId="0" fontId="3" fillId="0" borderId="1" xfId="0" applyFont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174" fontId="7" fillId="8" borderId="1" xfId="0" applyNumberFormat="1" applyFont="1" applyFill="1" applyBorder="1" applyAlignment="1">
      <alignment horizontal="center" vertical="center" wrapText="1"/>
    </xf>
    <xf numFmtId="174" fontId="11" fillId="8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wrapText="1"/>
    </xf>
    <xf numFmtId="174" fontId="11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wrapText="1"/>
    </xf>
    <xf numFmtId="174" fontId="7" fillId="0" borderId="16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174" fontId="7" fillId="0" borderId="14" xfId="0" applyNumberFormat="1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vertical="top" wrapText="1"/>
    </xf>
    <xf numFmtId="0" fontId="3" fillId="7" borderId="23" xfId="0" applyFont="1" applyFill="1" applyBorder="1" applyAlignment="1">
      <alignment vertical="top" wrapText="1"/>
    </xf>
    <xf numFmtId="0" fontId="3" fillId="7" borderId="24" xfId="0" applyFont="1" applyFill="1" applyBorder="1" applyAlignment="1">
      <alignment vertical="top" wrapText="1"/>
    </xf>
    <xf numFmtId="0" fontId="10" fillId="7" borderId="10" xfId="0" applyFont="1" applyFill="1" applyBorder="1" applyAlignment="1">
      <alignment vertical="top" wrapText="1"/>
    </xf>
    <xf numFmtId="0" fontId="7" fillId="7" borderId="22" xfId="0" applyFont="1" applyFill="1" applyBorder="1" applyAlignment="1">
      <alignment vertical="top" wrapText="1"/>
    </xf>
    <xf numFmtId="0" fontId="3" fillId="7" borderId="23" xfId="0" applyFont="1" applyFill="1" applyBorder="1" applyAlignment="1">
      <alignment wrapText="1"/>
    </xf>
    <xf numFmtId="0" fontId="7" fillId="7" borderId="23" xfId="0" applyFont="1" applyFill="1" applyBorder="1" applyAlignment="1">
      <alignment vertical="top" wrapText="1"/>
    </xf>
    <xf numFmtId="0" fontId="7" fillId="7" borderId="23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79" fontId="8" fillId="0" borderId="14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50" fillId="9" borderId="1" xfId="0" applyFont="1" applyFill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179" fontId="13" fillId="0" borderId="1" xfId="0" applyNumberFormat="1" applyFont="1" applyBorder="1" applyAlignment="1">
      <alignment horizontal="center" vertical="center"/>
    </xf>
    <xf numFmtId="179" fontId="15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vertical="center" wrapText="1"/>
    </xf>
    <xf numFmtId="179" fontId="7" fillId="10" borderId="1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179" fontId="15" fillId="0" borderId="1" xfId="0" applyNumberFormat="1" applyFont="1" applyBorder="1" applyAlignment="1">
      <alignment horizontal="center" vertical="center" wrapText="1"/>
    </xf>
    <xf numFmtId="179" fontId="11" fillId="9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0" fontId="9" fillId="10" borderId="1" xfId="0" applyFont="1" applyFill="1" applyBorder="1" applyAlignment="1">
      <alignment vertical="center" wrapText="1"/>
    </xf>
    <xf numFmtId="0" fontId="51" fillId="9" borderId="1" xfId="0" applyFont="1" applyFill="1" applyBorder="1" applyAlignment="1">
      <alignment vertical="center" wrapText="1"/>
    </xf>
    <xf numFmtId="179" fontId="11" fillId="5" borderId="1" xfId="0" applyNumberFormat="1" applyFont="1" applyFill="1" applyBorder="1" applyAlignment="1">
      <alignment horizontal="center" vertical="center"/>
    </xf>
    <xf numFmtId="0" fontId="51" fillId="10" borderId="1" xfId="0" applyFont="1" applyFill="1" applyBorder="1" applyAlignment="1">
      <alignment vertical="center" wrapText="1"/>
    </xf>
    <xf numFmtId="179" fontId="50" fillId="9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79" fontId="16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3" fillId="0" borderId="3" xfId="0" applyFont="1" applyBorder="1" applyAlignment="1">
      <alignment vertical="center" wrapText="1"/>
    </xf>
    <xf numFmtId="179" fontId="13" fillId="0" borderId="3" xfId="0" applyNumberFormat="1" applyFont="1" applyBorder="1" applyAlignment="1">
      <alignment horizontal="center" vertical="center" wrapText="1"/>
    </xf>
    <xf numFmtId="179" fontId="11" fillId="11" borderId="13" xfId="0" applyNumberFormat="1" applyFont="1" applyFill="1" applyBorder="1"/>
    <xf numFmtId="0" fontId="11" fillId="11" borderId="13" xfId="0" applyFont="1" applyFill="1" applyBorder="1"/>
    <xf numFmtId="179" fontId="11" fillId="11" borderId="11" xfId="0" applyNumberFormat="1" applyFont="1" applyFill="1" applyBorder="1"/>
    <xf numFmtId="0" fontId="1" fillId="11" borderId="9" xfId="0" applyFont="1" applyFill="1" applyBorder="1"/>
    <xf numFmtId="0" fontId="1" fillId="11" borderId="10" xfId="0" applyFont="1" applyFill="1" applyBorder="1"/>
    <xf numFmtId="0" fontId="19" fillId="11" borderId="10" xfId="0" applyFont="1" applyFill="1" applyBorder="1"/>
    <xf numFmtId="0" fontId="19" fillId="11" borderId="25" xfId="0" applyFont="1" applyFill="1" applyBorder="1"/>
    <xf numFmtId="0" fontId="3" fillId="0" borderId="3" xfId="0" applyFont="1" applyBorder="1"/>
    <xf numFmtId="0" fontId="4" fillId="0" borderId="14" xfId="0" applyFont="1" applyBorder="1" applyAlignment="1">
      <alignment horizontal="center" vertical="center" wrapText="1"/>
    </xf>
    <xf numFmtId="179" fontId="11" fillId="5" borderId="14" xfId="0" applyNumberFormat="1" applyFont="1" applyFill="1" applyBorder="1" applyAlignment="1">
      <alignment horizontal="center" vertical="center"/>
    </xf>
    <xf numFmtId="179" fontId="11" fillId="9" borderId="14" xfId="0" applyNumberFormat="1" applyFont="1" applyFill="1" applyBorder="1" applyAlignment="1">
      <alignment horizontal="center" vertical="center"/>
    </xf>
    <xf numFmtId="179" fontId="7" fillId="10" borderId="14" xfId="0" applyNumberFormat="1" applyFont="1" applyFill="1" applyBorder="1" applyAlignment="1">
      <alignment horizontal="center" vertical="center" wrapText="1"/>
    </xf>
    <xf numFmtId="179" fontId="13" fillId="0" borderId="14" xfId="0" applyNumberFormat="1" applyFont="1" applyBorder="1" applyAlignment="1">
      <alignment horizontal="center" vertical="center"/>
    </xf>
    <xf numFmtId="179" fontId="3" fillId="0" borderId="14" xfId="0" applyNumberFormat="1" applyFont="1" applyBorder="1" applyAlignment="1">
      <alignment horizontal="center" vertical="center"/>
    </xf>
    <xf numFmtId="179" fontId="8" fillId="10" borderId="14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79" fontId="13" fillId="0" borderId="14" xfId="0" applyNumberFormat="1" applyFont="1" applyBorder="1" applyAlignment="1">
      <alignment horizontal="center" vertical="center" wrapText="1"/>
    </xf>
    <xf numFmtId="179" fontId="15" fillId="7" borderId="14" xfId="0" applyNumberFormat="1" applyFont="1" applyFill="1" applyBorder="1" applyAlignment="1">
      <alignment horizontal="center" vertical="center" wrapText="1"/>
    </xf>
    <xf numFmtId="179" fontId="3" fillId="0" borderId="14" xfId="0" applyNumberFormat="1" applyFont="1" applyBorder="1" applyAlignment="1">
      <alignment horizontal="center" vertical="center" wrapText="1"/>
    </xf>
    <xf numFmtId="179" fontId="3" fillId="7" borderId="14" xfId="0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179" fontId="51" fillId="10" borderId="14" xfId="0" applyNumberFormat="1" applyFont="1" applyFill="1" applyBorder="1" applyAlignment="1">
      <alignment horizontal="center" vertical="center" wrapText="1"/>
    </xf>
    <xf numFmtId="179" fontId="7" fillId="0" borderId="14" xfId="0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79" fontId="50" fillId="9" borderId="14" xfId="0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79" fontId="9" fillId="0" borderId="14" xfId="0" applyNumberFormat="1" applyFont="1" applyBorder="1" applyAlignment="1">
      <alignment horizontal="center" vertical="center" wrapText="1"/>
    </xf>
    <xf numFmtId="179" fontId="13" fillId="0" borderId="15" xfId="0" applyNumberFormat="1" applyFont="1" applyBorder="1" applyAlignment="1">
      <alignment horizontal="center" vertical="center" wrapText="1"/>
    </xf>
    <xf numFmtId="0" fontId="3" fillId="0" borderId="26" xfId="0" applyFont="1" applyBorder="1"/>
    <xf numFmtId="0" fontId="3" fillId="0" borderId="27" xfId="0" applyFont="1" applyBorder="1" applyAlignment="1">
      <alignment vertical="center"/>
    </xf>
    <xf numFmtId="0" fontId="3" fillId="0" borderId="6" xfId="0" applyFont="1" applyBorder="1"/>
    <xf numFmtId="0" fontId="4" fillId="0" borderId="14" xfId="0" applyFont="1" applyBorder="1" applyAlignment="1">
      <alignment horizontal="center"/>
    </xf>
    <xf numFmtId="0" fontId="1" fillId="0" borderId="14" xfId="0" applyFont="1" applyBorder="1"/>
    <xf numFmtId="174" fontId="3" fillId="0" borderId="14" xfId="0" applyNumberFormat="1" applyFont="1" applyBorder="1"/>
    <xf numFmtId="0" fontId="3" fillId="0" borderId="28" xfId="0" applyFont="1" applyBorder="1"/>
    <xf numFmtId="0" fontId="3" fillId="0" borderId="29" xfId="0" applyFont="1" applyBorder="1"/>
    <xf numFmtId="0" fontId="1" fillId="0" borderId="28" xfId="0" applyFont="1" applyBorder="1"/>
    <xf numFmtId="0" fontId="1" fillId="0" borderId="0" xfId="0" applyFont="1" applyBorder="1"/>
    <xf numFmtId="0" fontId="1" fillId="0" borderId="29" xfId="0" applyFont="1" applyBorder="1"/>
    <xf numFmtId="0" fontId="8" fillId="0" borderId="6" xfId="0" applyFont="1" applyBorder="1"/>
    <xf numFmtId="0" fontId="18" fillId="0" borderId="28" xfId="0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74" fontId="3" fillId="0" borderId="0" xfId="0" applyNumberFormat="1" applyFont="1" applyAlignment="1">
      <alignment vertical="center" wrapText="1"/>
    </xf>
    <xf numFmtId="0" fontId="7" fillId="8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174" fontId="11" fillId="0" borderId="11" xfId="0" applyNumberFormat="1" applyFont="1" applyFill="1" applyBorder="1" applyAlignment="1">
      <alignment horizontal="center" vertical="center" wrapText="1"/>
    </xf>
    <xf numFmtId="0" fontId="16" fillId="0" borderId="0" xfId="0" applyFont="1"/>
    <xf numFmtId="183" fontId="16" fillId="0" borderId="0" xfId="0" applyNumberFormat="1" applyFont="1"/>
    <xf numFmtId="0" fontId="21" fillId="0" borderId="0" xfId="0" applyFont="1" applyAlignment="1">
      <alignment horizontal="left"/>
    </xf>
    <xf numFmtId="0" fontId="24" fillId="0" borderId="0" xfId="0" applyFont="1"/>
    <xf numFmtId="184" fontId="22" fillId="0" borderId="30" xfId="3" applyNumberFormat="1" applyFont="1" applyFill="1" applyBorder="1" applyAlignment="1">
      <alignment horizontal="center" vertical="center" wrapText="1"/>
    </xf>
    <xf numFmtId="184" fontId="22" fillId="0" borderId="31" xfId="3" applyNumberFormat="1" applyFont="1" applyFill="1" applyBorder="1" applyAlignment="1">
      <alignment horizontal="center" vertical="center" wrapText="1"/>
    </xf>
    <xf numFmtId="43" fontId="22" fillId="0" borderId="1" xfId="1" applyNumberFormat="1" applyFont="1" applyFill="1" applyBorder="1" applyAlignment="1">
      <alignment horizontal="center"/>
    </xf>
    <xf numFmtId="0" fontId="20" fillId="0" borderId="0" xfId="0" applyFont="1"/>
    <xf numFmtId="43" fontId="16" fillId="0" borderId="1" xfId="1" applyNumberFormat="1" applyFont="1" applyFill="1" applyBorder="1" applyAlignment="1">
      <alignment horizontal="center" vertical="center"/>
    </xf>
    <xf numFmtId="0" fontId="16" fillId="0" borderId="17" xfId="0" applyFont="1" applyFill="1" applyBorder="1"/>
    <xf numFmtId="184" fontId="22" fillId="0" borderId="32" xfId="3" applyNumberFormat="1" applyFont="1" applyFill="1" applyBorder="1" applyAlignment="1">
      <alignment horizontal="center" vertical="center" wrapText="1"/>
    </xf>
    <xf numFmtId="184" fontId="22" fillId="0" borderId="29" xfId="3" applyNumberFormat="1" applyFont="1" applyFill="1" applyBorder="1" applyAlignment="1">
      <alignment horizontal="center" vertical="center" wrapText="1"/>
    </xf>
    <xf numFmtId="183" fontId="24" fillId="0" borderId="1" xfId="0" applyNumberFormat="1" applyFont="1" applyBorder="1"/>
    <xf numFmtId="43" fontId="16" fillId="0" borderId="0" xfId="0" applyNumberFormat="1" applyFont="1"/>
    <xf numFmtId="183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6" fillId="3" borderId="28" xfId="0" applyFont="1" applyFill="1" applyBorder="1" applyAlignment="1">
      <alignment horizontal="center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183" fontId="24" fillId="0" borderId="3" xfId="0" applyNumberFormat="1" applyFont="1" applyBorder="1"/>
    <xf numFmtId="0" fontId="24" fillId="0" borderId="3" xfId="0" applyFont="1" applyBorder="1"/>
    <xf numFmtId="0" fontId="22" fillId="0" borderId="12" xfId="0" applyFont="1" applyFill="1" applyBorder="1" applyAlignment="1">
      <alignment horizontal="left" wrapText="1"/>
    </xf>
    <xf numFmtId="0" fontId="22" fillId="2" borderId="9" xfId="0" applyFont="1" applyFill="1" applyBorder="1" applyAlignment="1">
      <alignment horizontal="center" vertical="center" wrapText="1"/>
    </xf>
    <xf numFmtId="0" fontId="16" fillId="0" borderId="35" xfId="0" applyFont="1" applyFill="1" applyBorder="1"/>
    <xf numFmtId="0" fontId="22" fillId="0" borderId="36" xfId="0" applyFont="1" applyBorder="1" applyAlignment="1">
      <alignment horizontal="center" vertical="center" wrapText="1"/>
    </xf>
    <xf numFmtId="0" fontId="24" fillId="0" borderId="15" xfId="0" applyFont="1" applyBorder="1"/>
    <xf numFmtId="0" fontId="16" fillId="0" borderId="6" xfId="0" applyFont="1" applyFill="1" applyBorder="1" applyAlignment="1">
      <alignment horizontal="left" wrapText="1"/>
    </xf>
    <xf numFmtId="0" fontId="16" fillId="0" borderId="7" xfId="0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left" wrapText="1"/>
    </xf>
    <xf numFmtId="39" fontId="24" fillId="0" borderId="0" xfId="0" applyNumberFormat="1" applyFont="1"/>
    <xf numFmtId="182" fontId="16" fillId="0" borderId="0" xfId="0" applyNumberFormat="1" applyFont="1"/>
    <xf numFmtId="183" fontId="24" fillId="10" borderId="1" xfId="0" applyNumberFormat="1" applyFont="1" applyFill="1" applyBorder="1" applyAlignment="1">
      <alignment horizontal="center"/>
    </xf>
    <xf numFmtId="0" fontId="24" fillId="10" borderId="1" xfId="0" applyFont="1" applyFill="1" applyBorder="1" applyAlignment="1">
      <alignment horizontal="center"/>
    </xf>
    <xf numFmtId="187" fontId="16" fillId="0" borderId="0" xfId="0" applyNumberFormat="1" applyFont="1"/>
    <xf numFmtId="184" fontId="22" fillId="12" borderId="32" xfId="3" applyNumberFormat="1" applyFont="1" applyFill="1" applyBorder="1" applyAlignment="1">
      <alignment horizontal="center" vertical="center" wrapText="1"/>
    </xf>
    <xf numFmtId="184" fontId="22" fillId="12" borderId="29" xfId="3" applyNumberFormat="1" applyFont="1" applyFill="1" applyBorder="1" applyAlignment="1">
      <alignment horizontal="center" vertical="center" wrapText="1"/>
    </xf>
    <xf numFmtId="201" fontId="22" fillId="12" borderId="1" xfId="1" applyNumberFormat="1" applyFont="1" applyFill="1" applyBorder="1" applyAlignment="1">
      <alignment horizontal="center" vertical="center" wrapText="1"/>
    </xf>
    <xf numFmtId="201" fontId="22" fillId="0" borderId="1" xfId="0" applyNumberFormat="1" applyFont="1" applyFill="1" applyBorder="1" applyAlignment="1">
      <alignment horizontal="center"/>
    </xf>
    <xf numFmtId="201" fontId="22" fillId="0" borderId="5" xfId="0" applyNumberFormat="1" applyFont="1" applyFill="1" applyBorder="1" applyAlignment="1">
      <alignment horizontal="center"/>
    </xf>
    <xf numFmtId="201" fontId="22" fillId="0" borderId="13" xfId="1" applyNumberFormat="1" applyFont="1" applyFill="1" applyBorder="1" applyAlignment="1">
      <alignment horizontal="center" vertical="center" wrapText="1"/>
    </xf>
    <xf numFmtId="201" fontId="22" fillId="0" borderId="11" xfId="1" applyNumberFormat="1" applyFont="1" applyFill="1" applyBorder="1" applyAlignment="1">
      <alignment horizontal="center" vertical="center" wrapText="1"/>
    </xf>
    <xf numFmtId="201" fontId="22" fillId="0" borderId="13" xfId="0" applyNumberFormat="1" applyFont="1" applyFill="1" applyBorder="1" applyAlignment="1">
      <alignment horizontal="center"/>
    </xf>
    <xf numFmtId="201" fontId="22" fillId="0" borderId="13" xfId="1" applyNumberFormat="1" applyFont="1" applyFill="1" applyBorder="1" applyAlignment="1">
      <alignment vertical="center" wrapText="1"/>
    </xf>
    <xf numFmtId="201" fontId="22" fillId="0" borderId="3" xfId="0" applyNumberFormat="1" applyFont="1" applyFill="1" applyBorder="1" applyAlignment="1">
      <alignment horizontal="center"/>
    </xf>
    <xf numFmtId="201" fontId="22" fillId="12" borderId="13" xfId="1" applyNumberFormat="1" applyFont="1" applyFill="1" applyBorder="1" applyAlignment="1">
      <alignment horizontal="center" vertical="center" wrapText="1"/>
    </xf>
    <xf numFmtId="201" fontId="22" fillId="12" borderId="5" xfId="1" applyNumberFormat="1" applyFont="1" applyFill="1" applyBorder="1" applyAlignment="1">
      <alignment horizontal="center" vertical="center" wrapText="1"/>
    </xf>
    <xf numFmtId="201" fontId="22" fillId="12" borderId="3" xfId="1" applyNumberFormat="1" applyFont="1" applyFill="1" applyBorder="1" applyAlignment="1">
      <alignment horizontal="center" vertical="center" wrapText="1"/>
    </xf>
    <xf numFmtId="184" fontId="22" fillId="12" borderId="30" xfId="3" applyNumberFormat="1" applyFont="1" applyFill="1" applyBorder="1" applyAlignment="1">
      <alignment horizontal="center" vertical="center" wrapText="1"/>
    </xf>
    <xf numFmtId="184" fontId="22" fillId="12" borderId="31" xfId="3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/>
    </xf>
    <xf numFmtId="0" fontId="22" fillId="0" borderId="37" xfId="0" applyFont="1" applyFill="1" applyBorder="1" applyAlignment="1">
      <alignment horizontal="center"/>
    </xf>
    <xf numFmtId="0" fontId="22" fillId="0" borderId="38" xfId="0" applyFont="1" applyFill="1" applyBorder="1" applyAlignment="1">
      <alignment horizontal="center"/>
    </xf>
    <xf numFmtId="0" fontId="16" fillId="0" borderId="37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38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 wrapText="1"/>
    </xf>
    <xf numFmtId="0" fontId="16" fillId="0" borderId="37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201" fontId="22" fillId="0" borderId="16" xfId="0" applyNumberFormat="1" applyFont="1" applyFill="1" applyBorder="1" applyAlignment="1">
      <alignment horizontal="center"/>
    </xf>
    <xf numFmtId="201" fontId="22" fillId="0" borderId="15" xfId="0" applyNumberFormat="1" applyFont="1" applyFill="1" applyBorder="1" applyAlignment="1">
      <alignment horizontal="center"/>
    </xf>
    <xf numFmtId="201" fontId="22" fillId="0" borderId="14" xfId="0" applyNumberFormat="1" applyFont="1" applyFill="1" applyBorder="1" applyAlignment="1">
      <alignment horizontal="center"/>
    </xf>
    <xf numFmtId="201" fontId="22" fillId="12" borderId="8" xfId="1" applyNumberFormat="1" applyFont="1" applyFill="1" applyBorder="1" applyAlignment="1">
      <alignment horizontal="center" vertical="center" wrapText="1"/>
    </xf>
    <xf numFmtId="201" fontId="22" fillId="0" borderId="8" xfId="0" applyNumberFormat="1" applyFont="1" applyFill="1" applyBorder="1" applyAlignment="1">
      <alignment horizontal="center"/>
    </xf>
    <xf numFmtId="201" fontId="22" fillId="0" borderId="39" xfId="0" applyNumberFormat="1" applyFont="1" applyFill="1" applyBorder="1" applyAlignment="1">
      <alignment horizontal="center"/>
    </xf>
    <xf numFmtId="201" fontId="25" fillId="0" borderId="13" xfId="1" applyNumberFormat="1" applyFont="1" applyFill="1" applyBorder="1" applyAlignment="1">
      <alignment horizontal="center" wrapText="1"/>
    </xf>
    <xf numFmtId="201" fontId="25" fillId="0" borderId="5" xfId="1" applyNumberFormat="1" applyFont="1" applyFill="1" applyBorder="1" applyAlignment="1">
      <alignment horizontal="center"/>
    </xf>
    <xf numFmtId="201" fontId="26" fillId="0" borderId="3" xfId="1" applyNumberFormat="1" applyFont="1" applyFill="1" applyBorder="1" applyAlignment="1">
      <alignment horizontal="center"/>
    </xf>
    <xf numFmtId="201" fontId="26" fillId="0" borderId="5" xfId="1" applyNumberFormat="1" applyFont="1" applyFill="1" applyBorder="1" applyAlignment="1">
      <alignment horizontal="center"/>
    </xf>
    <xf numFmtId="201" fontId="26" fillId="0" borderId="1" xfId="1" applyNumberFormat="1" applyFont="1" applyFill="1" applyBorder="1" applyAlignment="1">
      <alignment horizontal="center"/>
    </xf>
    <xf numFmtId="201" fontId="26" fillId="0" borderId="5" xfId="1" applyNumberFormat="1" applyFont="1" applyFill="1" applyBorder="1" applyAlignment="1">
      <alignment horizontal="center" wrapText="1"/>
    </xf>
    <xf numFmtId="201" fontId="26" fillId="0" borderId="5" xfId="0" applyNumberFormat="1" applyFont="1" applyFill="1" applyBorder="1" applyAlignment="1">
      <alignment horizontal="center"/>
    </xf>
    <xf numFmtId="0" fontId="16" fillId="0" borderId="40" xfId="0" applyFont="1" applyFill="1" applyBorder="1"/>
    <xf numFmtId="201" fontId="26" fillId="0" borderId="8" xfId="1" applyNumberFormat="1" applyFont="1" applyFill="1" applyBorder="1" applyAlignment="1">
      <alignment horizontal="center"/>
    </xf>
    <xf numFmtId="201" fontId="20" fillId="12" borderId="13" xfId="1" applyNumberFormat="1" applyFont="1" applyFill="1" applyBorder="1" applyAlignment="1">
      <alignment horizontal="center" vertical="center" wrapText="1"/>
    </xf>
    <xf numFmtId="201" fontId="20" fillId="12" borderId="5" xfId="1" applyNumberFormat="1" applyFont="1" applyFill="1" applyBorder="1" applyAlignment="1">
      <alignment horizontal="center" vertical="center" wrapText="1"/>
    </xf>
    <xf numFmtId="201" fontId="20" fillId="12" borderId="3" xfId="1" applyNumberFormat="1" applyFont="1" applyFill="1" applyBorder="1" applyAlignment="1">
      <alignment horizontal="center" vertical="center" wrapText="1"/>
    </xf>
    <xf numFmtId="201" fontId="20" fillId="12" borderId="1" xfId="1" applyNumberFormat="1" applyFont="1" applyFill="1" applyBorder="1" applyAlignment="1">
      <alignment horizontal="center" vertical="center" wrapText="1"/>
    </xf>
    <xf numFmtId="201" fontId="20" fillId="12" borderId="8" xfId="1" applyNumberFormat="1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43" fontId="22" fillId="3" borderId="33" xfId="1" applyNumberFormat="1" applyFont="1" applyFill="1" applyBorder="1" applyAlignment="1">
      <alignment horizontal="center" vertical="center" wrapText="1"/>
    </xf>
    <xf numFmtId="43" fontId="22" fillId="3" borderId="34" xfId="1" applyNumberFormat="1" applyFont="1" applyFill="1" applyBorder="1" applyAlignment="1">
      <alignment horizontal="center" vertical="center" wrapText="1"/>
    </xf>
    <xf numFmtId="39" fontId="22" fillId="10" borderId="34" xfId="1" applyNumberFormat="1" applyFont="1" applyFill="1" applyBorder="1" applyAlignment="1">
      <alignment horizontal="center" vertical="center" wrapText="1"/>
    </xf>
    <xf numFmtId="39" fontId="22" fillId="10" borderId="41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 wrapText="1"/>
    </xf>
    <xf numFmtId="43" fontId="22" fillId="0" borderId="1" xfId="1" applyNumberFormat="1" applyFont="1" applyFill="1" applyBorder="1" applyAlignment="1">
      <alignment horizontal="center" vertical="center" wrapText="1"/>
    </xf>
    <xf numFmtId="43" fontId="22" fillId="10" borderId="1" xfId="1" applyNumberFormat="1" applyFont="1" applyFill="1" applyBorder="1" applyAlignment="1">
      <alignment vertical="center" wrapText="1"/>
    </xf>
    <xf numFmtId="39" fontId="24" fillId="0" borderId="1" xfId="0" applyNumberFormat="1" applyFont="1" applyBorder="1"/>
    <xf numFmtId="0" fontId="16" fillId="0" borderId="1" xfId="0" applyFont="1" applyFill="1" applyBorder="1" applyAlignment="1">
      <alignment horizontal="left" wrapText="1"/>
    </xf>
    <xf numFmtId="187" fontId="24" fillId="10" borderId="1" xfId="0" applyNumberFormat="1" applyFont="1" applyFill="1" applyBorder="1" applyAlignment="1">
      <alignment horizontal="center"/>
    </xf>
    <xf numFmtId="43" fontId="24" fillId="0" borderId="1" xfId="0" applyNumberFormat="1" applyFont="1" applyBorder="1" applyAlignment="1">
      <alignment horizontal="center"/>
    </xf>
    <xf numFmtId="39" fontId="22" fillId="0" borderId="1" xfId="1" applyNumberFormat="1" applyFont="1" applyFill="1" applyBorder="1" applyAlignment="1">
      <alignment horizontal="center" vertical="center" wrapText="1"/>
    </xf>
    <xf numFmtId="39" fontId="22" fillId="10" borderId="1" xfId="1" applyNumberFormat="1" applyFont="1" applyFill="1" applyBorder="1" applyAlignment="1">
      <alignment horizontal="center" vertical="center" wrapText="1"/>
    </xf>
    <xf numFmtId="187" fontId="22" fillId="10" borderId="1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43" fontId="16" fillId="0" borderId="1" xfId="1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43" fontId="16" fillId="0" borderId="1" xfId="1" applyNumberFormat="1" applyFont="1" applyFill="1" applyBorder="1" applyAlignment="1">
      <alignment horizontal="center" wrapText="1"/>
    </xf>
    <xf numFmtId="187" fontId="16" fillId="10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Fill="1" applyBorder="1"/>
    <xf numFmtId="183" fontId="16" fillId="10" borderId="1" xfId="0" applyNumberFormat="1" applyFont="1" applyFill="1" applyBorder="1" applyAlignment="1">
      <alignment horizontal="center"/>
    </xf>
    <xf numFmtId="43" fontId="52" fillId="0" borderId="1" xfId="1" applyNumberFormat="1" applyFont="1" applyFill="1" applyBorder="1" applyAlignment="1">
      <alignment horizontal="center" vertical="center"/>
    </xf>
    <xf numFmtId="179" fontId="16" fillId="0" borderId="1" xfId="0" applyNumberFormat="1" applyFont="1" applyFill="1" applyBorder="1"/>
    <xf numFmtId="0" fontId="26" fillId="13" borderId="9" xfId="0" applyFont="1" applyFill="1" applyBorder="1" applyAlignment="1">
      <alignment horizontal="center"/>
    </xf>
    <xf numFmtId="0" fontId="25" fillId="13" borderId="12" xfId="0" applyFont="1" applyFill="1" applyBorder="1" applyAlignment="1">
      <alignment horizontal="center" vertical="center" wrapText="1"/>
    </xf>
    <xf numFmtId="201" fontId="25" fillId="13" borderId="13" xfId="1" applyNumberFormat="1" applyFont="1" applyFill="1" applyBorder="1" applyAlignment="1">
      <alignment horizontal="center" wrapText="1"/>
    </xf>
    <xf numFmtId="201" fontId="25" fillId="13" borderId="13" xfId="1" applyNumberFormat="1" applyFont="1" applyFill="1" applyBorder="1" applyAlignment="1">
      <alignment horizontal="center" vertical="center" wrapText="1"/>
    </xf>
    <xf numFmtId="201" fontId="25" fillId="13" borderId="11" xfId="1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horizontal="center" wrapText="1"/>
    </xf>
    <xf numFmtId="0" fontId="29" fillId="0" borderId="0" xfId="0" applyFont="1" applyAlignment="1">
      <alignment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0" fontId="31" fillId="14" borderId="42" xfId="0" applyFont="1" applyFill="1" applyBorder="1" applyAlignment="1">
      <alignment vertical="top" wrapText="1"/>
    </xf>
    <xf numFmtId="0" fontId="29" fillId="14" borderId="5" xfId="0" applyFont="1" applyFill="1" applyBorder="1" applyAlignment="1">
      <alignment horizontal="center" vertical="center" wrapText="1"/>
    </xf>
    <xf numFmtId="174" fontId="32" fillId="14" borderId="5" xfId="0" applyNumberFormat="1" applyFont="1" applyFill="1" applyBorder="1" applyAlignment="1">
      <alignment horizontal="center" vertical="center" wrapText="1"/>
    </xf>
    <xf numFmtId="174" fontId="32" fillId="14" borderId="5" xfId="0" applyNumberFormat="1" applyFont="1" applyFill="1" applyBorder="1" applyAlignment="1">
      <alignment horizontal="center" vertical="center"/>
    </xf>
    <xf numFmtId="174" fontId="33" fillId="14" borderId="5" xfId="0" applyNumberFormat="1" applyFont="1" applyFill="1" applyBorder="1" applyAlignment="1">
      <alignment horizontal="center" vertical="center"/>
    </xf>
    <xf numFmtId="174" fontId="29" fillId="0" borderId="0" xfId="0" applyNumberFormat="1" applyFont="1" applyAlignment="1">
      <alignment wrapText="1"/>
    </xf>
    <xf numFmtId="0" fontId="29" fillId="15" borderId="40" xfId="0" applyFont="1" applyFill="1" applyBorder="1" applyAlignment="1">
      <alignment vertical="top" wrapText="1"/>
    </xf>
    <xf numFmtId="0" fontId="29" fillId="15" borderId="1" xfId="0" applyFont="1" applyFill="1" applyBorder="1" applyAlignment="1">
      <alignment horizontal="center" vertical="center" wrapText="1"/>
    </xf>
    <xf numFmtId="174" fontId="29" fillId="15" borderId="1" xfId="0" applyNumberFormat="1" applyFont="1" applyFill="1" applyBorder="1" applyAlignment="1">
      <alignment horizontal="center" vertical="center"/>
    </xf>
    <xf numFmtId="179" fontId="29" fillId="0" borderId="1" xfId="0" applyNumberFormat="1" applyFont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 wrapText="1"/>
    </xf>
    <xf numFmtId="0" fontId="29" fillId="15" borderId="43" xfId="0" applyFont="1" applyFill="1" applyBorder="1" applyAlignment="1">
      <alignment vertical="top" wrapText="1"/>
    </xf>
    <xf numFmtId="174" fontId="29" fillId="15" borderId="1" xfId="0" applyNumberFormat="1" applyFont="1" applyFill="1" applyBorder="1" applyAlignment="1">
      <alignment horizontal="center" vertical="center" wrapText="1"/>
    </xf>
    <xf numFmtId="179" fontId="29" fillId="0" borderId="1" xfId="0" applyNumberFormat="1" applyFont="1" applyBorder="1" applyAlignment="1">
      <alignment horizontal="center" vertical="center" wrapText="1"/>
    </xf>
    <xf numFmtId="0" fontId="29" fillId="15" borderId="44" xfId="0" applyFont="1" applyFill="1" applyBorder="1" applyAlignment="1">
      <alignment vertical="top" wrapText="1"/>
    </xf>
    <xf numFmtId="0" fontId="31" fillId="8" borderId="9" xfId="0" applyFont="1" applyFill="1" applyBorder="1" applyAlignment="1">
      <alignment vertical="top" wrapText="1"/>
    </xf>
    <xf numFmtId="0" fontId="29" fillId="8" borderId="1" xfId="0" applyFont="1" applyFill="1" applyBorder="1" applyAlignment="1">
      <alignment horizontal="center" vertical="center" wrapText="1"/>
    </xf>
    <xf numFmtId="174" fontId="31" fillId="8" borderId="1" xfId="0" applyNumberFormat="1" applyFont="1" applyFill="1" applyBorder="1" applyAlignment="1">
      <alignment horizontal="center" vertical="center" wrapText="1"/>
    </xf>
    <xf numFmtId="174" fontId="33" fillId="8" borderId="1" xfId="0" applyNumberFormat="1" applyFont="1" applyFill="1" applyBorder="1" applyAlignment="1">
      <alignment horizontal="center" vertical="center" wrapText="1"/>
    </xf>
    <xf numFmtId="0" fontId="31" fillId="4" borderId="40" xfId="0" applyFont="1" applyFill="1" applyBorder="1" applyAlignment="1">
      <alignment vertical="top" wrapText="1"/>
    </xf>
    <xf numFmtId="0" fontId="29" fillId="4" borderId="1" xfId="0" applyFont="1" applyFill="1" applyBorder="1" applyAlignment="1">
      <alignment horizontal="center" vertical="center" wrapText="1"/>
    </xf>
    <xf numFmtId="174" fontId="30" fillId="4" borderId="1" xfId="0" applyNumberFormat="1" applyFont="1" applyFill="1" applyBorder="1" applyAlignment="1">
      <alignment horizontal="center" vertical="center" wrapText="1"/>
    </xf>
    <xf numFmtId="174" fontId="31" fillId="6" borderId="1" xfId="0" applyNumberFormat="1" applyFont="1" applyFill="1" applyBorder="1" applyAlignment="1">
      <alignment horizontal="center" vertical="center" wrapText="1"/>
    </xf>
    <xf numFmtId="0" fontId="29" fillId="5" borderId="43" xfId="0" applyFont="1" applyFill="1" applyBorder="1" applyAlignment="1">
      <alignment wrapText="1"/>
    </xf>
    <xf numFmtId="0" fontId="29" fillId="5" borderId="1" xfId="0" applyFont="1" applyFill="1" applyBorder="1" applyAlignment="1">
      <alignment horizontal="center" vertical="center" wrapText="1"/>
    </xf>
    <xf numFmtId="174" fontId="29" fillId="5" borderId="1" xfId="0" applyNumberFormat="1" applyFont="1" applyFill="1" applyBorder="1" applyAlignment="1">
      <alignment horizontal="center" vertical="center"/>
    </xf>
    <xf numFmtId="174" fontId="29" fillId="5" borderId="1" xfId="0" applyNumberFormat="1" applyFont="1" applyFill="1" applyBorder="1" applyAlignment="1">
      <alignment horizontal="center" vertical="center" wrapText="1"/>
    </xf>
    <xf numFmtId="0" fontId="31" fillId="4" borderId="43" xfId="0" applyFont="1" applyFill="1" applyBorder="1" applyAlignment="1">
      <alignment vertical="top" wrapText="1"/>
    </xf>
    <xf numFmtId="0" fontId="31" fillId="4" borderId="43" xfId="0" applyFont="1" applyFill="1" applyBorder="1" applyAlignment="1">
      <alignment horizontal="left" vertical="center" wrapText="1"/>
    </xf>
    <xf numFmtId="174" fontId="29" fillId="4" borderId="1" xfId="0" applyNumberFormat="1" applyFont="1" applyFill="1" applyBorder="1" applyAlignment="1">
      <alignment horizontal="center" vertical="center" wrapText="1"/>
    </xf>
    <xf numFmtId="0" fontId="29" fillId="16" borderId="1" xfId="0" applyFont="1" applyFill="1" applyBorder="1" applyAlignment="1">
      <alignment horizontal="center" vertical="center" wrapText="1"/>
    </xf>
    <xf numFmtId="179" fontId="31" fillId="16" borderId="1" xfId="0" applyNumberFormat="1" applyFont="1" applyFill="1" applyBorder="1" applyAlignment="1">
      <alignment horizontal="center" vertical="center" wrapText="1"/>
    </xf>
    <xf numFmtId="179" fontId="33" fillId="16" borderId="1" xfId="0" applyNumberFormat="1" applyFont="1" applyFill="1" applyBorder="1" applyAlignment="1">
      <alignment horizontal="center" vertical="center" wrapText="1"/>
    </xf>
    <xf numFmtId="0" fontId="31" fillId="17" borderId="43" xfId="0" applyFont="1" applyFill="1" applyBorder="1" applyAlignment="1">
      <alignment horizontal="left" vertical="center" wrapText="1"/>
    </xf>
    <xf numFmtId="0" fontId="29" fillId="17" borderId="1" xfId="0" applyFont="1" applyFill="1" applyBorder="1" applyAlignment="1">
      <alignment horizontal="center" vertical="center" wrapText="1"/>
    </xf>
    <xf numFmtId="179" fontId="31" fillId="17" borderId="1" xfId="0" applyNumberFormat="1" applyFont="1" applyFill="1" applyBorder="1" applyAlignment="1">
      <alignment horizontal="center" vertical="center" wrapText="1"/>
    </xf>
    <xf numFmtId="0" fontId="29" fillId="18" borderId="1" xfId="0" applyFont="1" applyFill="1" applyBorder="1" applyAlignment="1">
      <alignment horizontal="center" vertical="center" wrapText="1"/>
    </xf>
    <xf numFmtId="179" fontId="29" fillId="18" borderId="1" xfId="0" applyNumberFormat="1" applyFont="1" applyFill="1" applyBorder="1" applyAlignment="1">
      <alignment horizontal="center" vertical="center" wrapText="1"/>
    </xf>
    <xf numFmtId="179" fontId="27" fillId="18" borderId="1" xfId="0" applyNumberFormat="1" applyFont="1" applyFill="1" applyBorder="1" applyAlignment="1">
      <alignment horizontal="center" vertical="center" wrapText="1"/>
    </xf>
    <xf numFmtId="179" fontId="29" fillId="17" borderId="1" xfId="0" applyNumberFormat="1" applyFont="1" applyFill="1" applyBorder="1" applyAlignment="1">
      <alignment horizontal="center" vertical="center" wrapText="1"/>
    </xf>
    <xf numFmtId="0" fontId="29" fillId="18" borderId="43" xfId="0" applyFont="1" applyFill="1" applyBorder="1" applyAlignment="1">
      <alignment wrapText="1"/>
    </xf>
    <xf numFmtId="0" fontId="31" fillId="17" borderId="1" xfId="0" applyFont="1" applyFill="1" applyBorder="1" applyAlignment="1">
      <alignment horizontal="center" vertical="center" wrapText="1"/>
    </xf>
    <xf numFmtId="0" fontId="29" fillId="19" borderId="1" xfId="0" applyFont="1" applyFill="1" applyBorder="1" applyAlignment="1">
      <alignment horizontal="center" vertical="center" wrapText="1"/>
    </xf>
    <xf numFmtId="174" fontId="35" fillId="19" borderId="1" xfId="0" applyNumberFormat="1" applyFont="1" applyFill="1" applyBorder="1" applyAlignment="1">
      <alignment horizontal="center" vertical="center" wrapText="1"/>
    </xf>
    <xf numFmtId="0" fontId="31" fillId="20" borderId="43" xfId="0" applyFont="1" applyFill="1" applyBorder="1" applyAlignment="1">
      <alignment horizontal="left" vertical="center" wrapText="1"/>
    </xf>
    <xf numFmtId="0" fontId="29" fillId="20" borderId="1" xfId="0" applyFont="1" applyFill="1" applyBorder="1" applyAlignment="1">
      <alignment horizontal="center" vertical="center" wrapText="1"/>
    </xf>
    <xf numFmtId="179" fontId="31" fillId="20" borderId="1" xfId="0" applyNumberFormat="1" applyFont="1" applyFill="1" applyBorder="1" applyAlignment="1">
      <alignment horizontal="center" vertical="center" wrapText="1"/>
    </xf>
    <xf numFmtId="174" fontId="29" fillId="20" borderId="1" xfId="0" applyNumberFormat="1" applyFont="1" applyFill="1" applyBorder="1" applyAlignment="1">
      <alignment horizontal="center" vertical="center"/>
    </xf>
    <xf numFmtId="179" fontId="29" fillId="20" borderId="1" xfId="0" applyNumberFormat="1" applyFont="1" applyFill="1" applyBorder="1" applyAlignment="1">
      <alignment horizontal="center" vertical="center" wrapText="1"/>
    </xf>
    <xf numFmtId="0" fontId="29" fillId="11" borderId="1" xfId="0" applyFont="1" applyFill="1" applyBorder="1" applyAlignment="1">
      <alignment horizontal="center" vertical="center" wrapText="1"/>
    </xf>
    <xf numFmtId="179" fontId="31" fillId="11" borderId="1" xfId="0" applyNumberFormat="1" applyFont="1" applyFill="1" applyBorder="1" applyAlignment="1">
      <alignment horizontal="center" vertical="center" wrapText="1"/>
    </xf>
    <xf numFmtId="179" fontId="33" fillId="11" borderId="1" xfId="0" applyNumberFormat="1" applyFont="1" applyFill="1" applyBorder="1" applyAlignment="1">
      <alignment horizontal="center" vertical="center" wrapText="1"/>
    </xf>
    <xf numFmtId="0" fontId="31" fillId="21" borderId="43" xfId="0" applyFont="1" applyFill="1" applyBorder="1" applyAlignment="1">
      <alignment horizontal="left" vertical="center" wrapText="1"/>
    </xf>
    <xf numFmtId="0" fontId="29" fillId="21" borderId="1" xfId="0" applyFont="1" applyFill="1" applyBorder="1" applyAlignment="1">
      <alignment horizontal="center" vertical="center" wrapText="1"/>
    </xf>
    <xf numFmtId="179" fontId="30" fillId="21" borderId="1" xfId="0" applyNumberFormat="1" applyFont="1" applyFill="1" applyBorder="1" applyAlignment="1">
      <alignment horizontal="center" vertical="center" wrapText="1"/>
    </xf>
    <xf numFmtId="174" fontId="29" fillId="21" borderId="1" xfId="0" applyNumberFormat="1" applyFont="1" applyFill="1" applyBorder="1" applyAlignment="1">
      <alignment horizontal="center" vertical="center"/>
    </xf>
    <xf numFmtId="174" fontId="29" fillId="21" borderId="1" xfId="0" applyNumberFormat="1" applyFont="1" applyFill="1" applyBorder="1" applyAlignment="1">
      <alignment horizontal="center" vertical="center" wrapText="1"/>
    </xf>
    <xf numFmtId="179" fontId="29" fillId="21" borderId="1" xfId="0" applyNumberFormat="1" applyFont="1" applyFill="1" applyBorder="1" applyAlignment="1">
      <alignment horizontal="center" vertical="center" wrapText="1"/>
    </xf>
    <xf numFmtId="0" fontId="29" fillId="21" borderId="43" xfId="0" applyFont="1" applyFill="1" applyBorder="1" applyAlignment="1">
      <alignment horizontal="left" vertical="top" wrapText="1"/>
    </xf>
    <xf numFmtId="0" fontId="29" fillId="22" borderId="1" xfId="0" applyFont="1" applyFill="1" applyBorder="1" applyAlignment="1">
      <alignment horizontal="center" vertical="center" wrapText="1"/>
    </xf>
    <xf numFmtId="179" fontId="31" fillId="22" borderId="1" xfId="0" applyNumberFormat="1" applyFont="1" applyFill="1" applyBorder="1" applyAlignment="1">
      <alignment horizontal="center" vertical="center" wrapText="1"/>
    </xf>
    <xf numFmtId="179" fontId="33" fillId="22" borderId="1" xfId="0" applyNumberFormat="1" applyFont="1" applyFill="1" applyBorder="1" applyAlignment="1">
      <alignment horizontal="center" vertical="center" wrapText="1"/>
    </xf>
    <xf numFmtId="0" fontId="31" fillId="9" borderId="43" xfId="0" applyFont="1" applyFill="1" applyBorder="1" applyAlignment="1">
      <alignment horizontal="left" vertical="center" wrapText="1"/>
    </xf>
    <xf numFmtId="0" fontId="29" fillId="9" borderId="1" xfId="0" applyFont="1" applyFill="1" applyBorder="1" applyAlignment="1">
      <alignment horizontal="center" vertical="center" wrapText="1"/>
    </xf>
    <xf numFmtId="179" fontId="29" fillId="9" borderId="1" xfId="0" applyNumberFormat="1" applyFont="1" applyFill="1" applyBorder="1" applyAlignment="1">
      <alignment horizontal="center" vertical="center" wrapText="1"/>
    </xf>
    <xf numFmtId="174" fontId="29" fillId="9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wrapText="1"/>
    </xf>
    <xf numFmtId="0" fontId="29" fillId="10" borderId="1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3" fillId="10" borderId="1" xfId="0" applyFont="1" applyFill="1" applyBorder="1" applyAlignment="1">
      <alignment horizontal="center" vertical="center" wrapText="1"/>
    </xf>
    <xf numFmtId="0" fontId="31" fillId="12" borderId="43" xfId="0" applyFont="1" applyFill="1" applyBorder="1" applyAlignment="1">
      <alignment wrapText="1"/>
    </xf>
    <xf numFmtId="0" fontId="29" fillId="12" borderId="1" xfId="0" applyFont="1" applyFill="1" applyBorder="1" applyAlignment="1">
      <alignment horizontal="center" vertical="center" wrapText="1"/>
    </xf>
    <xf numFmtId="179" fontId="29" fillId="12" borderId="1" xfId="0" applyNumberFormat="1" applyFont="1" applyFill="1" applyBorder="1" applyAlignment="1">
      <alignment horizontal="center" vertical="center" wrapText="1"/>
    </xf>
    <xf numFmtId="17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53" fillId="5" borderId="43" xfId="0" applyFont="1" applyFill="1" applyBorder="1" applyAlignment="1">
      <alignment wrapText="1"/>
    </xf>
    <xf numFmtId="0" fontId="53" fillId="5" borderId="1" xfId="0" applyFont="1" applyFill="1" applyBorder="1" applyAlignment="1">
      <alignment horizontal="center" vertical="center" wrapText="1"/>
    </xf>
    <xf numFmtId="174" fontId="53" fillId="5" borderId="1" xfId="0" applyNumberFormat="1" applyFont="1" applyFill="1" applyBorder="1" applyAlignment="1">
      <alignment horizontal="center" vertical="center" wrapText="1"/>
    </xf>
    <xf numFmtId="0" fontId="27" fillId="18" borderId="43" xfId="0" applyFont="1" applyFill="1" applyBorder="1" applyAlignment="1">
      <alignment wrapText="1"/>
    </xf>
    <xf numFmtId="0" fontId="29" fillId="12" borderId="43" xfId="0" applyFont="1" applyFill="1" applyBorder="1" applyAlignment="1">
      <alignment wrapText="1"/>
    </xf>
    <xf numFmtId="179" fontId="54" fillId="0" borderId="0" xfId="0" applyNumberFormat="1" applyFont="1" applyAlignment="1">
      <alignment horizontal="center" vertical="center" wrapText="1"/>
    </xf>
    <xf numFmtId="0" fontId="36" fillId="0" borderId="0" xfId="0" applyFont="1" applyBorder="1"/>
    <xf numFmtId="0" fontId="31" fillId="16" borderId="43" xfId="0" applyFont="1" applyFill="1" applyBorder="1" applyAlignment="1">
      <alignment wrapText="1"/>
    </xf>
    <xf numFmtId="0" fontId="31" fillId="19" borderId="44" xfId="0" applyFont="1" applyFill="1" applyBorder="1" applyAlignment="1">
      <alignment wrapText="1"/>
    </xf>
    <xf numFmtId="0" fontId="31" fillId="11" borderId="44" xfId="0" applyFont="1" applyFill="1" applyBorder="1" applyAlignment="1">
      <alignment wrapText="1"/>
    </xf>
    <xf numFmtId="0" fontId="31" fillId="22" borderId="28" xfId="0" applyFont="1" applyFill="1" applyBorder="1" applyAlignment="1">
      <alignment wrapText="1"/>
    </xf>
    <xf numFmtId="0" fontId="27" fillId="9" borderId="0" xfId="0" applyFont="1" applyFill="1" applyAlignment="1">
      <alignment wrapText="1"/>
    </xf>
    <xf numFmtId="0" fontId="31" fillId="10" borderId="28" xfId="0" applyFont="1" applyFill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5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0" fontId="7" fillId="7" borderId="0" xfId="0" applyFont="1" applyFill="1" applyAlignment="1">
      <alignment wrapText="1"/>
    </xf>
    <xf numFmtId="0" fontId="7" fillId="4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37" fillId="0" borderId="0" xfId="0" applyFont="1" applyAlignment="1">
      <alignment horizontal="center" vertical="center" wrapText="1"/>
    </xf>
    <xf numFmtId="0" fontId="39" fillId="0" borderId="0" xfId="0" applyFont="1" applyAlignment="1">
      <alignment wrapText="1"/>
    </xf>
    <xf numFmtId="0" fontId="39" fillId="0" borderId="0" xfId="0" applyFont="1" applyAlignment="1">
      <alignment horizontal="right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7" fillId="7" borderId="0" xfId="0" applyFont="1" applyFill="1" applyAlignment="1">
      <alignment horizontal="center" vertical="center" wrapText="1"/>
    </xf>
    <xf numFmtId="0" fontId="39" fillId="4" borderId="1" xfId="0" applyFont="1" applyFill="1" applyBorder="1" applyAlignment="1">
      <alignment horizontal="right" vertical="center" wrapText="1"/>
    </xf>
    <xf numFmtId="174" fontId="42" fillId="4" borderId="1" xfId="0" applyNumberFormat="1" applyFont="1" applyFill="1" applyBorder="1" applyAlignment="1">
      <alignment horizontal="right" vertical="center" wrapText="1"/>
    </xf>
    <xf numFmtId="174" fontId="42" fillId="4" borderId="1" xfId="0" applyNumberFormat="1" applyFont="1" applyFill="1" applyBorder="1" applyAlignment="1">
      <alignment horizontal="right" vertical="center"/>
    </xf>
    <xf numFmtId="179" fontId="43" fillId="4" borderId="33" xfId="0" applyNumberFormat="1" applyFont="1" applyFill="1" applyBorder="1" applyAlignment="1">
      <alignment horizontal="center" vertical="center" wrapText="1"/>
    </xf>
    <xf numFmtId="174" fontId="43" fillId="10" borderId="1" xfId="0" applyNumberFormat="1" applyFont="1" applyFill="1" applyBorder="1" applyAlignment="1">
      <alignment horizontal="right" vertical="center"/>
    </xf>
    <xf numFmtId="0" fontId="39" fillId="7" borderId="0" xfId="0" applyFont="1" applyFill="1" applyAlignment="1">
      <alignment wrapText="1"/>
    </xf>
    <xf numFmtId="174" fontId="39" fillId="7" borderId="0" xfId="0" applyNumberFormat="1" applyFont="1" applyFill="1" applyAlignment="1">
      <alignment wrapText="1"/>
    </xf>
    <xf numFmtId="0" fontId="39" fillId="23" borderId="1" xfId="0" applyFont="1" applyFill="1" applyBorder="1" applyAlignment="1">
      <alignment horizontal="right" vertical="center" wrapText="1"/>
    </xf>
    <xf numFmtId="174" fontId="39" fillId="15" borderId="1" xfId="0" applyNumberFormat="1" applyFont="1" applyFill="1" applyBorder="1" applyAlignment="1">
      <alignment horizontal="center" vertical="center"/>
    </xf>
    <xf numFmtId="179" fontId="39" fillId="23" borderId="1" xfId="0" applyNumberFormat="1" applyFont="1" applyFill="1" applyBorder="1" applyAlignment="1">
      <alignment horizontal="center" vertical="center" wrapText="1"/>
    </xf>
    <xf numFmtId="174" fontId="39" fillId="23" borderId="1" xfId="0" applyNumberFormat="1" applyFont="1" applyFill="1" applyBorder="1" applyAlignment="1">
      <alignment horizontal="center" vertical="center"/>
    </xf>
    <xf numFmtId="179" fontId="39" fillId="7" borderId="1" xfId="0" applyNumberFormat="1" applyFont="1" applyFill="1" applyBorder="1" applyAlignment="1">
      <alignment horizontal="right" vertical="center"/>
    </xf>
    <xf numFmtId="179" fontId="38" fillId="7" borderId="1" xfId="0" applyNumberFormat="1" applyFont="1" applyFill="1" applyBorder="1" applyAlignment="1">
      <alignment horizontal="right" vertical="center" wrapText="1"/>
    </xf>
    <xf numFmtId="0" fontId="41" fillId="10" borderId="1" xfId="0" applyFont="1" applyFill="1" applyBorder="1" applyAlignment="1">
      <alignment horizontal="right" vertical="center" wrapText="1"/>
    </xf>
    <xf numFmtId="174" fontId="39" fillId="0" borderId="0" xfId="0" applyNumberFormat="1" applyFont="1" applyAlignment="1">
      <alignment wrapText="1"/>
    </xf>
    <xf numFmtId="179" fontId="38" fillId="7" borderId="0" xfId="0" applyNumberFormat="1" applyFont="1" applyFill="1" applyAlignment="1">
      <alignment horizontal="right" vertical="center" wrapText="1"/>
    </xf>
    <xf numFmtId="174" fontId="39" fillId="15" borderId="1" xfId="0" applyNumberFormat="1" applyFont="1" applyFill="1" applyBorder="1" applyAlignment="1">
      <alignment horizontal="center" vertical="center" wrapText="1"/>
    </xf>
    <xf numFmtId="179" fontId="39" fillId="7" borderId="1" xfId="0" applyNumberFormat="1" applyFont="1" applyFill="1" applyBorder="1" applyAlignment="1">
      <alignment horizontal="right" vertical="center" wrapText="1"/>
    </xf>
    <xf numFmtId="0" fontId="39" fillId="8" borderId="1" xfId="0" applyFont="1" applyFill="1" applyBorder="1" applyAlignment="1">
      <alignment horizontal="right" vertical="center" wrapText="1"/>
    </xf>
    <xf numFmtId="174" fontId="41" fillId="8" borderId="1" xfId="0" applyNumberFormat="1" applyFont="1" applyFill="1" applyBorder="1" applyAlignment="1">
      <alignment horizontal="right" vertical="center" wrapText="1"/>
    </xf>
    <xf numFmtId="179" fontId="41" fillId="8" borderId="1" xfId="0" applyNumberFormat="1" applyFont="1" applyFill="1" applyBorder="1" applyAlignment="1">
      <alignment horizontal="right" vertical="center" wrapText="1"/>
    </xf>
    <xf numFmtId="174" fontId="43" fillId="10" borderId="1" xfId="0" applyNumberFormat="1" applyFont="1" applyFill="1" applyBorder="1" applyAlignment="1">
      <alignment horizontal="right" vertical="center" wrapText="1"/>
    </xf>
    <xf numFmtId="174" fontId="40" fillId="4" borderId="1" xfId="0" applyNumberFormat="1" applyFont="1" applyFill="1" applyBorder="1" applyAlignment="1">
      <alignment horizontal="right" vertical="center" wrapText="1"/>
    </xf>
    <xf numFmtId="179" fontId="38" fillId="4" borderId="1" xfId="0" applyNumberFormat="1" applyFont="1" applyFill="1" applyBorder="1" applyAlignment="1">
      <alignment horizontal="center" vertical="center" wrapText="1"/>
    </xf>
    <xf numFmtId="174" fontId="38" fillId="10" borderId="1" xfId="0" applyNumberFormat="1" applyFont="1" applyFill="1" applyBorder="1" applyAlignment="1">
      <alignment horizontal="right" vertical="center"/>
    </xf>
    <xf numFmtId="0" fontId="39" fillId="5" borderId="1" xfId="0" applyFont="1" applyFill="1" applyBorder="1" applyAlignment="1">
      <alignment horizontal="right" vertical="center" wrapText="1"/>
    </xf>
    <xf numFmtId="174" fontId="39" fillId="5" borderId="1" xfId="0" applyNumberFormat="1" applyFont="1" applyFill="1" applyBorder="1" applyAlignment="1">
      <alignment horizontal="center" vertical="center"/>
    </xf>
    <xf numFmtId="179" fontId="39" fillId="5" borderId="1" xfId="0" applyNumberFormat="1" applyFont="1" applyFill="1" applyBorder="1" applyAlignment="1">
      <alignment horizontal="right" vertical="center" wrapText="1"/>
    </xf>
    <xf numFmtId="174" fontId="39" fillId="5" borderId="1" xfId="0" applyNumberFormat="1" applyFont="1" applyFill="1" applyBorder="1" applyAlignment="1">
      <alignment horizontal="right" vertical="center"/>
    </xf>
    <xf numFmtId="179" fontId="38" fillId="7" borderId="1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57" fillId="5" borderId="1" xfId="0" applyFont="1" applyFill="1" applyBorder="1" applyAlignment="1">
      <alignment horizontal="right" vertical="center" wrapText="1"/>
    </xf>
    <xf numFmtId="179" fontId="57" fillId="5" borderId="1" xfId="0" applyNumberFormat="1" applyFont="1" applyFill="1" applyBorder="1" applyAlignment="1">
      <alignment horizontal="center" vertical="center" wrapText="1"/>
    </xf>
    <xf numFmtId="174" fontId="57" fillId="5" borderId="1" xfId="0" applyNumberFormat="1" applyFont="1" applyFill="1" applyBorder="1" applyAlignment="1">
      <alignment horizontal="right" vertical="center"/>
    </xf>
    <xf numFmtId="179" fontId="58" fillId="7" borderId="1" xfId="0" applyNumberFormat="1" applyFont="1" applyFill="1" applyBorder="1" applyAlignment="1">
      <alignment horizontal="center" vertical="center" wrapText="1"/>
    </xf>
    <xf numFmtId="0" fontId="59" fillId="10" borderId="1" xfId="0" applyFont="1" applyFill="1" applyBorder="1" applyAlignment="1">
      <alignment horizontal="right" vertical="center" wrapText="1"/>
    </xf>
    <xf numFmtId="0" fontId="57" fillId="0" borderId="0" xfId="0" applyFont="1" applyAlignment="1">
      <alignment wrapText="1"/>
    </xf>
    <xf numFmtId="174" fontId="57" fillId="0" borderId="0" xfId="0" applyNumberFormat="1" applyFont="1" applyAlignment="1">
      <alignment wrapText="1"/>
    </xf>
    <xf numFmtId="179" fontId="39" fillId="5" borderId="1" xfId="0" applyNumberFormat="1" applyFont="1" applyFill="1" applyBorder="1" applyAlignment="1">
      <alignment horizontal="center" vertical="center" wrapText="1"/>
    </xf>
    <xf numFmtId="0" fontId="57" fillId="4" borderId="1" xfId="0" applyFont="1" applyFill="1" applyBorder="1" applyAlignment="1">
      <alignment horizontal="right" vertical="center" wrapText="1"/>
    </xf>
    <xf numFmtId="0" fontId="57" fillId="4" borderId="1" xfId="0" applyFont="1" applyFill="1" applyBorder="1" applyAlignment="1">
      <alignment horizontal="center" vertical="center" wrapText="1"/>
    </xf>
    <xf numFmtId="174" fontId="57" fillId="4" borderId="1" xfId="0" applyNumberFormat="1" applyFont="1" applyFill="1" applyBorder="1" applyAlignment="1">
      <alignment horizontal="right" vertical="center" wrapText="1"/>
    </xf>
    <xf numFmtId="179" fontId="58" fillId="4" borderId="1" xfId="0" applyNumberFormat="1" applyFont="1" applyFill="1" applyBorder="1" applyAlignment="1">
      <alignment horizontal="center" vertical="center" wrapText="1"/>
    </xf>
    <xf numFmtId="174" fontId="58" fillId="10" borderId="1" xfId="0" applyNumberFormat="1" applyFont="1" applyFill="1" applyBorder="1" applyAlignment="1">
      <alignment horizontal="right" vertical="center"/>
    </xf>
    <xf numFmtId="0" fontId="37" fillId="4" borderId="0" xfId="0" applyFont="1" applyFill="1" applyAlignment="1">
      <alignment horizontal="center" vertical="center" wrapText="1"/>
    </xf>
    <xf numFmtId="174" fontId="39" fillId="4" borderId="1" xfId="0" applyNumberFormat="1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174" fontId="39" fillId="4" borderId="1" xfId="0" applyNumberFormat="1" applyFont="1" applyFill="1" applyBorder="1" applyAlignment="1">
      <alignment horizontal="right" vertical="center" wrapText="1"/>
    </xf>
    <xf numFmtId="0" fontId="39" fillId="4" borderId="0" xfId="0" applyFont="1" applyFill="1" applyAlignment="1">
      <alignment wrapText="1"/>
    </xf>
    <xf numFmtId="0" fontId="41" fillId="4" borderId="0" xfId="0" applyFont="1" applyFill="1" applyAlignment="1">
      <alignment horizontal="center" vertical="center" wrapText="1"/>
    </xf>
    <xf numFmtId="0" fontId="41" fillId="4" borderId="1" xfId="0" applyFont="1" applyFill="1" applyBorder="1" applyAlignment="1">
      <alignment horizontal="right" vertical="center" wrapText="1"/>
    </xf>
    <xf numFmtId="174" fontId="41" fillId="4" borderId="1" xfId="0" applyNumberFormat="1" applyFont="1" applyFill="1" applyBorder="1" applyAlignment="1">
      <alignment horizontal="center" vertical="center" wrapText="1"/>
    </xf>
    <xf numFmtId="0" fontId="59" fillId="4" borderId="1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174" fontId="41" fillId="4" borderId="1" xfId="0" applyNumberFormat="1" applyFont="1" applyFill="1" applyBorder="1" applyAlignment="1">
      <alignment horizontal="right" vertical="center" wrapText="1"/>
    </xf>
    <xf numFmtId="0" fontId="41" fillId="7" borderId="0" xfId="0" applyFont="1" applyFill="1" applyAlignment="1">
      <alignment wrapText="1"/>
    </xf>
    <xf numFmtId="174" fontId="41" fillId="7" borderId="0" xfId="0" applyNumberFormat="1" applyFont="1" applyFill="1" applyAlignment="1">
      <alignment wrapText="1"/>
    </xf>
    <xf numFmtId="0" fontId="41" fillId="4" borderId="0" xfId="0" applyFont="1" applyFill="1" applyAlignment="1">
      <alignment wrapText="1"/>
    </xf>
    <xf numFmtId="0" fontId="39" fillId="5" borderId="0" xfId="0" applyFont="1" applyFill="1" applyAlignment="1">
      <alignment horizontal="center" vertical="center" wrapText="1"/>
    </xf>
    <xf numFmtId="0" fontId="39" fillId="10" borderId="1" xfId="0" applyFont="1" applyFill="1" applyBorder="1" applyAlignment="1">
      <alignment horizontal="right" vertical="center" wrapText="1"/>
    </xf>
    <xf numFmtId="0" fontId="39" fillId="5" borderId="0" xfId="0" applyFont="1" applyFill="1" applyAlignment="1">
      <alignment wrapText="1"/>
    </xf>
    <xf numFmtId="0" fontId="39" fillId="0" borderId="0" xfId="0" applyFont="1" applyAlignment="1">
      <alignment horizontal="center" vertical="center" wrapText="1"/>
    </xf>
    <xf numFmtId="0" fontId="40" fillId="10" borderId="1" xfId="0" applyFont="1" applyFill="1" applyBorder="1" applyAlignment="1">
      <alignment horizontal="right" vertical="center" wrapText="1"/>
    </xf>
    <xf numFmtId="0" fontId="39" fillId="4" borderId="0" xfId="0" applyFont="1" applyFill="1" applyAlignment="1">
      <alignment horizontal="center" vertical="center" wrapText="1"/>
    </xf>
    <xf numFmtId="0" fontId="39" fillId="16" borderId="1" xfId="0" applyFont="1" applyFill="1" applyBorder="1" applyAlignment="1">
      <alignment horizontal="right" vertical="center" wrapText="1"/>
    </xf>
    <xf numFmtId="0" fontId="39" fillId="16" borderId="1" xfId="0" applyFont="1" applyFill="1" applyBorder="1" applyAlignment="1">
      <alignment horizontal="center" vertical="center" wrapText="1"/>
    </xf>
    <xf numFmtId="179" fontId="41" fillId="16" borderId="1" xfId="0" applyNumberFormat="1" applyFont="1" applyFill="1" applyBorder="1" applyAlignment="1">
      <alignment horizontal="right" vertical="center" wrapText="1"/>
    </xf>
    <xf numFmtId="174" fontId="43" fillId="16" borderId="27" xfId="0" applyNumberFormat="1" applyFont="1" applyFill="1" applyBorder="1" applyAlignment="1">
      <alignment horizontal="center" vertical="center" wrapText="1"/>
    </xf>
    <xf numFmtId="179" fontId="43" fillId="10" borderId="1" xfId="0" applyNumberFormat="1" applyFont="1" applyFill="1" applyBorder="1" applyAlignment="1">
      <alignment horizontal="right" vertical="center" wrapText="1"/>
    </xf>
    <xf numFmtId="0" fontId="39" fillId="17" borderId="1" xfId="0" applyFont="1" applyFill="1" applyBorder="1" applyAlignment="1">
      <alignment horizontal="right" vertical="center" wrapText="1"/>
    </xf>
    <xf numFmtId="0" fontId="39" fillId="17" borderId="1" xfId="0" applyFont="1" applyFill="1" applyBorder="1" applyAlignment="1">
      <alignment horizontal="center" vertical="center" wrapText="1"/>
    </xf>
    <xf numFmtId="179" fontId="41" fillId="17" borderId="1" xfId="0" applyNumberFormat="1" applyFont="1" applyFill="1" applyBorder="1" applyAlignment="1">
      <alignment horizontal="right" vertical="center" wrapText="1"/>
    </xf>
    <xf numFmtId="174" fontId="41" fillId="17" borderId="14" xfId="0" applyNumberFormat="1" applyFont="1" applyFill="1" applyBorder="1" applyAlignment="1">
      <alignment horizontal="center" vertical="center" wrapText="1"/>
    </xf>
    <xf numFmtId="174" fontId="38" fillId="10" borderId="1" xfId="0" applyNumberFormat="1" applyFont="1" applyFill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 wrapText="1"/>
    </xf>
    <xf numFmtId="179" fontId="39" fillId="0" borderId="1" xfId="0" applyNumberFormat="1" applyFont="1" applyBorder="1" applyAlignment="1">
      <alignment horizontal="right" vertical="center" wrapText="1"/>
    </xf>
    <xf numFmtId="179" fontId="39" fillId="17" borderId="1" xfId="0" applyNumberFormat="1" applyFont="1" applyFill="1" applyBorder="1" applyAlignment="1">
      <alignment horizontal="center" vertical="center" wrapText="1"/>
    </xf>
    <xf numFmtId="0" fontId="39" fillId="7" borderId="1" xfId="0" applyFont="1" applyFill="1" applyBorder="1" applyAlignment="1">
      <alignment horizontal="right" vertical="center" wrapText="1"/>
    </xf>
    <xf numFmtId="0" fontId="38" fillId="10" borderId="1" xfId="0" applyFont="1" applyFill="1" applyBorder="1" applyAlignment="1">
      <alignment horizontal="right" vertical="center" wrapText="1"/>
    </xf>
    <xf numFmtId="0" fontId="41" fillId="17" borderId="1" xfId="0" applyFont="1" applyFill="1" applyBorder="1" applyAlignment="1">
      <alignment horizontal="right" vertical="center" wrapText="1"/>
    </xf>
    <xf numFmtId="179" fontId="41" fillId="17" borderId="1" xfId="0" applyNumberFormat="1" applyFont="1" applyFill="1" applyBorder="1" applyAlignment="1">
      <alignment horizontal="center" vertical="center" wrapText="1"/>
    </xf>
    <xf numFmtId="179" fontId="39" fillId="17" borderId="1" xfId="0" applyNumberFormat="1" applyFont="1" applyFill="1" applyBorder="1" applyAlignment="1">
      <alignment horizontal="right" vertical="center" wrapText="1"/>
    </xf>
    <xf numFmtId="0" fontId="39" fillId="19" borderId="1" xfId="0" applyFont="1" applyFill="1" applyBorder="1" applyAlignment="1">
      <alignment horizontal="right" vertical="center" wrapText="1"/>
    </xf>
    <xf numFmtId="0" fontId="39" fillId="19" borderId="1" xfId="0" applyFont="1" applyFill="1" applyBorder="1" applyAlignment="1">
      <alignment horizontal="center" vertical="center" wrapText="1"/>
    </xf>
    <xf numFmtId="179" fontId="39" fillId="19" borderId="1" xfId="0" applyNumberFormat="1" applyFont="1" applyFill="1" applyBorder="1" applyAlignment="1">
      <alignment horizontal="right" vertical="center" wrapText="1"/>
    </xf>
    <xf numFmtId="179" fontId="41" fillId="4" borderId="1" xfId="0" applyNumberFormat="1" applyFont="1" applyFill="1" applyBorder="1" applyAlignment="1">
      <alignment horizontal="right" vertical="center" wrapText="1"/>
    </xf>
    <xf numFmtId="179" fontId="41" fillId="4" borderId="8" xfId="0" applyNumberFormat="1" applyFont="1" applyFill="1" applyBorder="1" applyAlignment="1">
      <alignment horizontal="right" vertical="center" wrapText="1"/>
    </xf>
    <xf numFmtId="174" fontId="41" fillId="4" borderId="39" xfId="0" applyNumberFormat="1" applyFont="1" applyFill="1" applyBorder="1" applyAlignment="1">
      <alignment horizontal="right" vertical="center" wrapText="1"/>
    </xf>
    <xf numFmtId="0" fontId="39" fillId="20" borderId="1" xfId="0" applyFont="1" applyFill="1" applyBorder="1" applyAlignment="1">
      <alignment horizontal="right" vertical="center" wrapText="1"/>
    </xf>
    <xf numFmtId="174" fontId="39" fillId="20" borderId="1" xfId="0" applyNumberFormat="1" applyFont="1" applyFill="1" applyBorder="1" applyAlignment="1">
      <alignment horizontal="center" vertical="center"/>
    </xf>
    <xf numFmtId="179" fontId="39" fillId="20" borderId="1" xfId="0" applyNumberFormat="1" applyFont="1" applyFill="1" applyBorder="1" applyAlignment="1">
      <alignment horizontal="center" vertical="center" wrapText="1"/>
    </xf>
    <xf numFmtId="179" fontId="39" fillId="20" borderId="1" xfId="0" applyNumberFormat="1" applyFont="1" applyFill="1" applyBorder="1" applyAlignment="1">
      <alignment horizontal="right" vertical="center" wrapText="1"/>
    </xf>
    <xf numFmtId="0" fontId="39" fillId="11" borderId="1" xfId="0" applyFont="1" applyFill="1" applyBorder="1" applyAlignment="1">
      <alignment horizontal="right" vertical="center" wrapText="1"/>
    </xf>
    <xf numFmtId="0" fontId="39" fillId="11" borderId="1" xfId="0" applyFont="1" applyFill="1" applyBorder="1" applyAlignment="1">
      <alignment horizontal="center" vertical="center" wrapText="1"/>
    </xf>
    <xf numFmtId="179" fontId="41" fillId="11" borderId="1" xfId="0" applyNumberFormat="1" applyFont="1" applyFill="1" applyBorder="1" applyAlignment="1">
      <alignment horizontal="right" vertical="center" wrapText="1"/>
    </xf>
    <xf numFmtId="179" fontId="41" fillId="11" borderId="1" xfId="0" applyNumberFormat="1" applyFont="1" applyFill="1" applyBorder="1" applyAlignment="1">
      <alignment wrapText="1"/>
    </xf>
    <xf numFmtId="0" fontId="39" fillId="24" borderId="1" xfId="0" applyFont="1" applyFill="1" applyBorder="1" applyAlignment="1">
      <alignment horizontal="right" vertical="center" wrapText="1"/>
    </xf>
    <xf numFmtId="0" fontId="39" fillId="24" borderId="1" xfId="0" applyFont="1" applyFill="1" applyBorder="1" applyAlignment="1">
      <alignment horizontal="center" vertical="center" wrapText="1"/>
    </xf>
    <xf numFmtId="179" fontId="40" fillId="24" borderId="1" xfId="0" applyNumberFormat="1" applyFont="1" applyFill="1" applyBorder="1" applyAlignment="1">
      <alignment horizontal="right" vertical="center" wrapText="1"/>
    </xf>
    <xf numFmtId="179" fontId="39" fillId="24" borderId="1" xfId="0" applyNumberFormat="1" applyFont="1" applyFill="1" applyBorder="1" applyAlignment="1">
      <alignment wrapText="1"/>
    </xf>
    <xf numFmtId="0" fontId="39" fillId="21" borderId="1" xfId="0" applyFont="1" applyFill="1" applyBorder="1" applyAlignment="1">
      <alignment horizontal="right" vertical="center" wrapText="1"/>
    </xf>
    <xf numFmtId="174" fontId="39" fillId="21" borderId="1" xfId="0" applyNumberFormat="1" applyFont="1" applyFill="1" applyBorder="1" applyAlignment="1">
      <alignment horizontal="center" vertical="center"/>
    </xf>
    <xf numFmtId="174" fontId="39" fillId="21" borderId="1" xfId="0" applyNumberFormat="1" applyFont="1" applyFill="1" applyBorder="1" applyAlignment="1">
      <alignment horizontal="center" vertical="center" wrapText="1"/>
    </xf>
    <xf numFmtId="179" fontId="39" fillId="21" borderId="1" xfId="0" applyNumberFormat="1" applyFont="1" applyFill="1" applyBorder="1" applyAlignment="1">
      <alignment horizontal="right" vertical="center" wrapText="1"/>
    </xf>
    <xf numFmtId="179" fontId="39" fillId="0" borderId="1" xfId="0" applyNumberFormat="1" applyFont="1" applyBorder="1" applyAlignment="1">
      <alignment horizontal="right" wrapText="1"/>
    </xf>
    <xf numFmtId="0" fontId="41" fillId="10" borderId="23" xfId="0" applyFont="1" applyFill="1" applyBorder="1" applyAlignment="1">
      <alignment horizontal="right" vertical="center" wrapText="1"/>
    </xf>
    <xf numFmtId="174" fontId="39" fillId="24" borderId="1" xfId="0" applyNumberFormat="1" applyFont="1" applyFill="1" applyBorder="1" applyAlignment="1">
      <alignment horizontal="center" vertical="center" wrapText="1"/>
    </xf>
    <xf numFmtId="179" fontId="39" fillId="24" borderId="1" xfId="0" applyNumberFormat="1" applyFont="1" applyFill="1" applyBorder="1" applyAlignment="1">
      <alignment horizontal="right" vertical="center" wrapText="1"/>
    </xf>
    <xf numFmtId="179" fontId="39" fillId="24" borderId="1" xfId="0" applyNumberFormat="1" applyFont="1" applyFill="1" applyBorder="1" applyAlignment="1">
      <alignment horizontal="right" wrapText="1"/>
    </xf>
    <xf numFmtId="174" fontId="38" fillId="10" borderId="23" xfId="0" applyNumberFormat="1" applyFont="1" applyFill="1" applyBorder="1" applyAlignment="1">
      <alignment horizontal="right" vertical="center" wrapText="1"/>
    </xf>
    <xf numFmtId="174" fontId="41" fillId="24" borderId="1" xfId="0" applyNumberFormat="1" applyFont="1" applyFill="1" applyBorder="1" applyAlignment="1">
      <alignment horizontal="right" vertical="center" wrapText="1"/>
    </xf>
    <xf numFmtId="0" fontId="39" fillId="22" borderId="1" xfId="0" applyFont="1" applyFill="1" applyBorder="1" applyAlignment="1">
      <alignment horizontal="right" vertical="center" wrapText="1"/>
    </xf>
    <xf numFmtId="0" fontId="39" fillId="22" borderId="1" xfId="0" applyFont="1" applyFill="1" applyBorder="1" applyAlignment="1">
      <alignment horizontal="center" vertical="center" wrapText="1"/>
    </xf>
    <xf numFmtId="179" fontId="41" fillId="22" borderId="1" xfId="0" applyNumberFormat="1" applyFont="1" applyFill="1" applyBorder="1" applyAlignment="1">
      <alignment horizontal="right" vertical="center" wrapText="1"/>
    </xf>
    <xf numFmtId="0" fontId="39" fillId="25" borderId="1" xfId="0" applyFont="1" applyFill="1" applyBorder="1" applyAlignment="1">
      <alignment horizontal="right" vertical="center" wrapText="1"/>
    </xf>
    <xf numFmtId="0" fontId="39" fillId="25" borderId="1" xfId="0" applyFont="1" applyFill="1" applyBorder="1" applyAlignment="1">
      <alignment horizontal="center" vertical="center" wrapText="1"/>
    </xf>
    <xf numFmtId="179" fontId="39" fillId="25" borderId="1" xfId="0" applyNumberFormat="1" applyFont="1" applyFill="1" applyBorder="1" applyAlignment="1">
      <alignment horizontal="right" vertical="center" wrapText="1"/>
    </xf>
    <xf numFmtId="179" fontId="39" fillId="25" borderId="3" xfId="0" applyNumberFormat="1" applyFont="1" applyFill="1" applyBorder="1" applyAlignment="1">
      <alignment horizontal="right" vertical="center" wrapText="1"/>
    </xf>
    <xf numFmtId="179" fontId="39" fillId="0" borderId="0" xfId="0" applyNumberFormat="1" applyFont="1" applyAlignment="1">
      <alignment horizontal="right" vertical="center" wrapText="1"/>
    </xf>
    <xf numFmtId="0" fontId="39" fillId="9" borderId="1" xfId="0" applyFont="1" applyFill="1" applyBorder="1" applyAlignment="1">
      <alignment horizontal="right" vertical="center" wrapText="1"/>
    </xf>
    <xf numFmtId="174" fontId="39" fillId="9" borderId="1" xfId="0" applyNumberFormat="1" applyFont="1" applyFill="1" applyBorder="1" applyAlignment="1">
      <alignment horizontal="center" vertical="center"/>
    </xf>
    <xf numFmtId="174" fontId="39" fillId="9" borderId="1" xfId="0" applyNumberFormat="1" applyFont="1" applyFill="1" applyBorder="1" applyAlignment="1">
      <alignment horizontal="right" vertical="center"/>
    </xf>
    <xf numFmtId="174" fontId="41" fillId="10" borderId="1" xfId="0" applyNumberFormat="1" applyFont="1" applyFill="1" applyBorder="1" applyAlignment="1">
      <alignment horizontal="right" vertical="center" wrapText="1"/>
    </xf>
    <xf numFmtId="0" fontId="39" fillId="10" borderId="1" xfId="0" applyFont="1" applyFill="1" applyBorder="1" applyAlignment="1">
      <alignment horizontal="center" vertical="center" wrapText="1"/>
    </xf>
    <xf numFmtId="0" fontId="41" fillId="10" borderId="1" xfId="0" applyFont="1" applyFill="1" applyBorder="1" applyAlignment="1">
      <alignment vertical="center" wrapText="1"/>
    </xf>
    <xf numFmtId="0" fontId="39" fillId="26" borderId="1" xfId="0" applyFont="1" applyFill="1" applyBorder="1" applyAlignment="1">
      <alignment horizontal="right" vertical="center" wrapText="1"/>
    </xf>
    <xf numFmtId="0" fontId="39" fillId="26" borderId="1" xfId="0" applyFont="1" applyFill="1" applyBorder="1" applyAlignment="1">
      <alignment horizontal="center" vertical="center" wrapText="1"/>
    </xf>
    <xf numFmtId="179" fontId="39" fillId="26" borderId="8" xfId="0" applyNumberFormat="1" applyFont="1" applyFill="1" applyBorder="1" applyAlignment="1">
      <alignment vertical="center" wrapText="1"/>
    </xf>
    <xf numFmtId="179" fontId="39" fillId="26" borderId="1" xfId="0" applyNumberFormat="1" applyFont="1" applyFill="1" applyBorder="1" applyAlignment="1">
      <alignment vertical="center" wrapText="1"/>
    </xf>
    <xf numFmtId="179" fontId="39" fillId="0" borderId="3" xfId="0" applyNumberFormat="1" applyFont="1" applyBorder="1" applyAlignment="1">
      <alignment vertical="center" wrapText="1"/>
    </xf>
    <xf numFmtId="174" fontId="41" fillId="10" borderId="3" xfId="0" applyNumberFormat="1" applyFont="1" applyFill="1" applyBorder="1" applyAlignment="1">
      <alignment horizontal="right" vertical="center" wrapText="1"/>
    </xf>
    <xf numFmtId="0" fontId="41" fillId="27" borderId="1" xfId="0" applyFont="1" applyFill="1" applyBorder="1" applyAlignment="1">
      <alignment wrapText="1"/>
    </xf>
    <xf numFmtId="0" fontId="39" fillId="27" borderId="1" xfId="0" applyFont="1" applyFill="1" applyBorder="1" applyAlignment="1">
      <alignment horizontal="right" vertical="center" wrapText="1"/>
    </xf>
    <xf numFmtId="0" fontId="39" fillId="27" borderId="1" xfId="0" applyFont="1" applyFill="1" applyBorder="1" applyAlignment="1">
      <alignment horizontal="center" vertical="center" wrapText="1"/>
    </xf>
    <xf numFmtId="0" fontId="40" fillId="28" borderId="1" xfId="0" applyFont="1" applyFill="1" applyBorder="1" applyAlignment="1">
      <alignment wrapText="1"/>
    </xf>
    <xf numFmtId="0" fontId="39" fillId="28" borderId="1" xfId="0" applyFont="1" applyFill="1" applyBorder="1" applyAlignment="1">
      <alignment horizontal="right" vertical="center" wrapText="1"/>
    </xf>
    <xf numFmtId="0" fontId="39" fillId="28" borderId="1" xfId="0" applyFont="1" applyFill="1" applyBorder="1" applyAlignment="1">
      <alignment horizontal="center" vertical="center" wrapText="1"/>
    </xf>
    <xf numFmtId="179" fontId="40" fillId="28" borderId="1" xfId="0" applyNumberFormat="1" applyFont="1" applyFill="1" applyBorder="1" applyAlignment="1">
      <alignment horizontal="right" vertical="center" wrapText="1"/>
    </xf>
    <xf numFmtId="0" fontId="39" fillId="29" borderId="1" xfId="0" applyFont="1" applyFill="1" applyBorder="1" applyAlignment="1">
      <alignment horizontal="right" vertical="center" wrapText="1"/>
    </xf>
    <xf numFmtId="174" fontId="39" fillId="29" borderId="1" xfId="0" applyNumberFormat="1" applyFont="1" applyFill="1" applyBorder="1" applyAlignment="1">
      <alignment horizontal="center" vertical="center"/>
    </xf>
    <xf numFmtId="179" fontId="39" fillId="29" borderId="1" xfId="0" applyNumberFormat="1" applyFont="1" applyFill="1" applyBorder="1" applyAlignment="1">
      <alignment horizontal="center" vertical="center" wrapText="1"/>
    </xf>
    <xf numFmtId="174" fontId="39" fillId="29" borderId="1" xfId="0" applyNumberFormat="1" applyFont="1" applyFill="1" applyBorder="1" applyAlignment="1">
      <alignment horizontal="center" vertical="center" wrapText="1"/>
    </xf>
    <xf numFmtId="179" fontId="39" fillId="29" borderId="1" xfId="0" applyNumberFormat="1" applyFont="1" applyFill="1" applyBorder="1" applyAlignment="1">
      <alignment horizontal="right" vertical="center" wrapText="1"/>
    </xf>
    <xf numFmtId="174" fontId="38" fillId="10" borderId="3" xfId="0" applyNumberFormat="1" applyFont="1" applyFill="1" applyBorder="1" applyAlignment="1">
      <alignment horizontal="right" vertical="center" wrapText="1"/>
    </xf>
    <xf numFmtId="0" fontId="44" fillId="0" borderId="0" xfId="0" applyFont="1" applyAlignment="1">
      <alignment horizontal="right" vertical="center" wrapText="1"/>
    </xf>
    <xf numFmtId="0" fontId="41" fillId="16" borderId="1" xfId="0" applyFont="1" applyFill="1" applyBorder="1" applyAlignment="1">
      <alignment wrapText="1"/>
    </xf>
    <xf numFmtId="0" fontId="39" fillId="23" borderId="23" xfId="0" applyFont="1" applyFill="1" applyBorder="1" applyAlignment="1">
      <alignment horizontal="right" vertical="center" wrapText="1"/>
    </xf>
    <xf numFmtId="0" fontId="39" fillId="8" borderId="23" xfId="0" applyFont="1" applyFill="1" applyBorder="1" applyAlignment="1">
      <alignment horizontal="right" vertical="center" wrapText="1"/>
    </xf>
    <xf numFmtId="0" fontId="39" fillId="4" borderId="23" xfId="0" applyFont="1" applyFill="1" applyBorder="1" applyAlignment="1">
      <alignment horizontal="right" vertical="center" wrapText="1"/>
    </xf>
    <xf numFmtId="0" fontId="39" fillId="5" borderId="23" xfId="0" applyFont="1" applyFill="1" applyBorder="1" applyAlignment="1">
      <alignment horizontal="right" vertical="center" wrapText="1"/>
    </xf>
    <xf numFmtId="0" fontId="57" fillId="5" borderId="23" xfId="0" applyFont="1" applyFill="1" applyBorder="1" applyAlignment="1">
      <alignment horizontal="right" vertical="center" wrapText="1"/>
    </xf>
    <xf numFmtId="0" fontId="57" fillId="4" borderId="23" xfId="0" applyFont="1" applyFill="1" applyBorder="1" applyAlignment="1">
      <alignment horizontal="right" vertical="center" wrapText="1"/>
    </xf>
    <xf numFmtId="0" fontId="41" fillId="4" borderId="23" xfId="0" applyFont="1" applyFill="1" applyBorder="1" applyAlignment="1">
      <alignment horizontal="right" vertical="center" wrapText="1"/>
    </xf>
    <xf numFmtId="0" fontId="39" fillId="16" borderId="23" xfId="0" applyFont="1" applyFill="1" applyBorder="1" applyAlignment="1">
      <alignment horizontal="right" vertical="center" wrapText="1"/>
    </xf>
    <xf numFmtId="0" fontId="39" fillId="17" borderId="23" xfId="0" applyFont="1" applyFill="1" applyBorder="1" applyAlignment="1">
      <alignment horizontal="right" vertical="center" wrapText="1"/>
    </xf>
    <xf numFmtId="0" fontId="41" fillId="17" borderId="23" xfId="0" applyFont="1" applyFill="1" applyBorder="1" applyAlignment="1">
      <alignment horizontal="right" vertical="center" wrapText="1"/>
    </xf>
    <xf numFmtId="0" fontId="39" fillId="19" borderId="23" xfId="0" applyFont="1" applyFill="1" applyBorder="1" applyAlignment="1">
      <alignment horizontal="right" vertical="center" wrapText="1"/>
    </xf>
    <xf numFmtId="0" fontId="39" fillId="20" borderId="23" xfId="0" applyFont="1" applyFill="1" applyBorder="1" applyAlignment="1">
      <alignment horizontal="right" vertical="center" wrapText="1"/>
    </xf>
    <xf numFmtId="0" fontId="39" fillId="11" borderId="23" xfId="0" applyFont="1" applyFill="1" applyBorder="1" applyAlignment="1">
      <alignment horizontal="right" vertical="center" wrapText="1"/>
    </xf>
    <xf numFmtId="0" fontId="39" fillId="24" borderId="23" xfId="0" applyFont="1" applyFill="1" applyBorder="1" applyAlignment="1">
      <alignment horizontal="right" vertical="center" wrapText="1"/>
    </xf>
    <xf numFmtId="0" fontId="39" fillId="21" borderId="23" xfId="0" applyFont="1" applyFill="1" applyBorder="1" applyAlignment="1">
      <alignment horizontal="right" vertical="center" wrapText="1"/>
    </xf>
    <xf numFmtId="0" fontId="39" fillId="22" borderId="23" xfId="0" applyFont="1" applyFill="1" applyBorder="1" applyAlignment="1">
      <alignment horizontal="right" vertical="center" wrapText="1"/>
    </xf>
    <xf numFmtId="0" fontId="39" fillId="25" borderId="23" xfId="0" applyFont="1" applyFill="1" applyBorder="1" applyAlignment="1">
      <alignment horizontal="right" vertical="center" wrapText="1"/>
    </xf>
    <xf numFmtId="0" fontId="39" fillId="9" borderId="23" xfId="0" applyFont="1" applyFill="1" applyBorder="1" applyAlignment="1">
      <alignment horizontal="right" vertical="center" wrapText="1"/>
    </xf>
    <xf numFmtId="0" fontId="39" fillId="10" borderId="23" xfId="0" applyFont="1" applyFill="1" applyBorder="1" applyAlignment="1">
      <alignment horizontal="right" vertical="center" wrapText="1"/>
    </xf>
    <xf numFmtId="0" fontId="39" fillId="26" borderId="23" xfId="0" applyFont="1" applyFill="1" applyBorder="1" applyAlignment="1">
      <alignment horizontal="right" vertical="center" wrapText="1"/>
    </xf>
    <xf numFmtId="0" fontId="39" fillId="27" borderId="23" xfId="0" applyFont="1" applyFill="1" applyBorder="1" applyAlignment="1">
      <alignment horizontal="right" vertical="center" wrapText="1"/>
    </xf>
    <xf numFmtId="0" fontId="39" fillId="28" borderId="23" xfId="0" applyFont="1" applyFill="1" applyBorder="1" applyAlignment="1">
      <alignment horizontal="right" vertical="center" wrapText="1"/>
    </xf>
    <xf numFmtId="0" fontId="39" fillId="29" borderId="23" xfId="0" applyFont="1" applyFill="1" applyBorder="1" applyAlignment="1">
      <alignment horizontal="right" vertical="center" wrapText="1"/>
    </xf>
    <xf numFmtId="0" fontId="41" fillId="14" borderId="61" xfId="0" applyFont="1" applyFill="1" applyBorder="1" applyAlignment="1">
      <alignment vertical="top" wrapText="1"/>
    </xf>
    <xf numFmtId="0" fontId="39" fillId="15" borderId="1" xfId="0" applyFont="1" applyFill="1" applyBorder="1" applyAlignment="1">
      <alignment vertical="top" wrapText="1"/>
    </xf>
    <xf numFmtId="0" fontId="41" fillId="8" borderId="1" xfId="0" applyFont="1" applyFill="1" applyBorder="1" applyAlignment="1">
      <alignment vertical="top" wrapText="1"/>
    </xf>
    <xf numFmtId="0" fontId="41" fillId="19" borderId="1" xfId="0" applyFont="1" applyFill="1" applyBorder="1" applyAlignment="1">
      <alignment wrapText="1"/>
    </xf>
    <xf numFmtId="0" fontId="41" fillId="11" borderId="1" xfId="0" applyFont="1" applyFill="1" applyBorder="1" applyAlignment="1">
      <alignment wrapText="1"/>
    </xf>
    <xf numFmtId="0" fontId="41" fillId="22" borderId="1" xfId="0" applyFont="1" applyFill="1" applyBorder="1" applyAlignment="1">
      <alignment wrapText="1"/>
    </xf>
    <xf numFmtId="0" fontId="41" fillId="10" borderId="1" xfId="0" applyFont="1" applyFill="1" applyBorder="1" applyAlignment="1">
      <alignment wrapText="1"/>
    </xf>
    <xf numFmtId="0" fontId="61" fillId="29" borderId="23" xfId="0" applyFont="1" applyFill="1" applyBorder="1" applyAlignment="1">
      <alignment horizontal="right" vertical="center" wrapText="1"/>
    </xf>
    <xf numFmtId="0" fontId="61" fillId="29" borderId="1" xfId="0" applyFont="1" applyFill="1" applyBorder="1" applyAlignment="1">
      <alignment horizontal="right" vertical="center" wrapText="1"/>
    </xf>
    <xf numFmtId="174" fontId="61" fillId="29" borderId="1" xfId="0" applyNumberFormat="1" applyFont="1" applyFill="1" applyBorder="1" applyAlignment="1">
      <alignment horizontal="center" vertical="center" wrapText="1"/>
    </xf>
    <xf numFmtId="179" fontId="61" fillId="29" borderId="1" xfId="0" applyNumberFormat="1" applyFont="1" applyFill="1" applyBorder="1" applyAlignment="1">
      <alignment horizontal="center" vertical="center" wrapText="1"/>
    </xf>
    <xf numFmtId="179" fontId="61" fillId="29" borderId="1" xfId="0" applyNumberFormat="1" applyFont="1" applyFill="1" applyBorder="1" applyAlignment="1">
      <alignment horizontal="right" vertical="center" wrapText="1"/>
    </xf>
    <xf numFmtId="0" fontId="61" fillId="12" borderId="24" xfId="0" applyFont="1" applyFill="1" applyBorder="1" applyAlignment="1">
      <alignment horizontal="right" vertical="center" wrapText="1"/>
    </xf>
    <xf numFmtId="0" fontId="61" fillId="12" borderId="3" xfId="0" applyFont="1" applyFill="1" applyBorder="1" applyAlignment="1">
      <alignment horizontal="right" vertical="center" wrapText="1"/>
    </xf>
    <xf numFmtId="179" fontId="61" fillId="12" borderId="3" xfId="0" applyNumberFormat="1" applyFont="1" applyFill="1" applyBorder="1" applyAlignment="1">
      <alignment horizontal="center" vertical="center" wrapText="1"/>
    </xf>
    <xf numFmtId="179" fontId="61" fillId="12" borderId="3" xfId="0" applyNumberFormat="1" applyFont="1" applyFill="1" applyBorder="1" applyAlignment="1">
      <alignment horizontal="right" vertical="center" wrapText="1"/>
    </xf>
    <xf numFmtId="0" fontId="61" fillId="20" borderId="23" xfId="0" applyFont="1" applyFill="1" applyBorder="1" applyAlignment="1">
      <alignment horizontal="right" vertical="center" wrapText="1"/>
    </xf>
    <xf numFmtId="0" fontId="61" fillId="20" borderId="1" xfId="0" applyFont="1" applyFill="1" applyBorder="1" applyAlignment="1">
      <alignment horizontal="right" vertical="center" wrapText="1"/>
    </xf>
    <xf numFmtId="174" fontId="61" fillId="20" borderId="1" xfId="0" applyNumberFormat="1" applyFont="1" applyFill="1" applyBorder="1" applyAlignment="1">
      <alignment horizontal="center" vertical="center"/>
    </xf>
    <xf numFmtId="179" fontId="61" fillId="20" borderId="1" xfId="0" applyNumberFormat="1" applyFont="1" applyFill="1" applyBorder="1" applyAlignment="1">
      <alignment horizontal="center" vertical="center" wrapText="1"/>
    </xf>
    <xf numFmtId="179" fontId="61" fillId="20" borderId="1" xfId="0" applyNumberFormat="1" applyFont="1" applyFill="1" applyBorder="1" applyAlignment="1">
      <alignment horizontal="right" vertical="center" wrapText="1"/>
    </xf>
    <xf numFmtId="0" fontId="61" fillId="18" borderId="23" xfId="0" applyFont="1" applyFill="1" applyBorder="1" applyAlignment="1">
      <alignment horizontal="right" vertical="center" wrapText="1"/>
    </xf>
    <xf numFmtId="0" fontId="61" fillId="18" borderId="1" xfId="0" applyFont="1" applyFill="1" applyBorder="1" applyAlignment="1">
      <alignment horizontal="right" vertical="center" wrapText="1"/>
    </xf>
    <xf numFmtId="179" fontId="61" fillId="18" borderId="1" xfId="0" applyNumberFormat="1" applyFont="1" applyFill="1" applyBorder="1" applyAlignment="1">
      <alignment horizontal="center" vertical="center" wrapText="1"/>
    </xf>
    <xf numFmtId="179" fontId="61" fillId="18" borderId="1" xfId="0" applyNumberFormat="1" applyFont="1" applyFill="1" applyBorder="1" applyAlignment="1">
      <alignment horizontal="right" vertical="center" wrapText="1"/>
    </xf>
    <xf numFmtId="0" fontId="61" fillId="5" borderId="23" xfId="0" applyFont="1" applyFill="1" applyBorder="1" applyAlignment="1">
      <alignment horizontal="right" vertical="center" wrapText="1"/>
    </xf>
    <xf numFmtId="0" fontId="61" fillId="5" borderId="1" xfId="0" applyFont="1" applyFill="1" applyBorder="1" applyAlignment="1">
      <alignment horizontal="right" vertical="center" wrapText="1"/>
    </xf>
    <xf numFmtId="174" fontId="61" fillId="5" borderId="1" xfId="0" applyNumberFormat="1" applyFont="1" applyFill="1" applyBorder="1" applyAlignment="1">
      <alignment horizontal="center" vertical="center" wrapText="1"/>
    </xf>
    <xf numFmtId="179" fontId="61" fillId="5" borderId="1" xfId="0" applyNumberFormat="1" applyFont="1" applyFill="1" applyBorder="1" applyAlignment="1">
      <alignment horizontal="center" vertical="center" wrapText="1"/>
    </xf>
    <xf numFmtId="174" fontId="61" fillId="5" borderId="1" xfId="0" applyNumberFormat="1" applyFont="1" applyFill="1" applyBorder="1" applyAlignment="1">
      <alignment horizontal="right" vertical="center"/>
    </xf>
    <xf numFmtId="179" fontId="62" fillId="18" borderId="1" xfId="0" applyNumberFormat="1" applyFont="1" applyFill="1" applyBorder="1" applyAlignment="1">
      <alignment horizontal="right" vertical="center" wrapText="1"/>
    </xf>
    <xf numFmtId="0" fontId="41" fillId="0" borderId="0" xfId="0" applyFont="1" applyBorder="1" applyAlignment="1">
      <alignment horizontal="center" wrapText="1"/>
    </xf>
    <xf numFmtId="0" fontId="30" fillId="0" borderId="0" xfId="0" applyFont="1" applyBorder="1"/>
    <xf numFmtId="0" fontId="29" fillId="20" borderId="1" xfId="0" applyFont="1" applyFill="1" applyBorder="1" applyAlignment="1">
      <alignment wrapText="1"/>
    </xf>
    <xf numFmtId="0" fontId="63" fillId="14" borderId="1" xfId="0" applyFont="1" applyFill="1" applyBorder="1" applyAlignment="1">
      <alignment wrapText="1"/>
    </xf>
    <xf numFmtId="0" fontId="61" fillId="14" borderId="1" xfId="0" applyFont="1" applyFill="1" applyBorder="1" applyAlignment="1">
      <alignment vertical="center" wrapText="1"/>
    </xf>
    <xf numFmtId="0" fontId="40" fillId="26" borderId="1" xfId="0" applyFont="1" applyFill="1" applyBorder="1" applyAlignment="1">
      <alignment wrapText="1"/>
    </xf>
    <xf numFmtId="0" fontId="61" fillId="26" borderId="1" xfId="0" applyFont="1" applyFill="1" applyBorder="1" applyAlignment="1">
      <alignment wrapText="1"/>
    </xf>
    <xf numFmtId="0" fontId="40" fillId="25" borderId="1" xfId="0" applyFont="1" applyFill="1" applyBorder="1" applyAlignment="1">
      <alignment horizontal="left" vertical="center" wrapText="1"/>
    </xf>
    <xf numFmtId="0" fontId="39" fillId="9" borderId="1" xfId="0" applyFont="1" applyFill="1" applyBorder="1" applyAlignment="1">
      <alignment wrapText="1"/>
    </xf>
    <xf numFmtId="0" fontId="40" fillId="24" borderId="1" xfId="0" applyFont="1" applyFill="1" applyBorder="1" applyAlignment="1">
      <alignment horizontal="left" vertical="center" wrapText="1"/>
    </xf>
    <xf numFmtId="0" fontId="39" fillId="21" borderId="1" xfId="0" applyFont="1" applyFill="1" applyBorder="1" applyAlignment="1">
      <alignment wrapText="1"/>
    </xf>
    <xf numFmtId="0" fontId="39" fillId="21" borderId="1" xfId="0" applyFont="1" applyFill="1" applyBorder="1"/>
    <xf numFmtId="0" fontId="40" fillId="4" borderId="1" xfId="0" applyFont="1" applyFill="1" applyBorder="1" applyAlignment="1">
      <alignment horizontal="left" vertical="center" wrapText="1"/>
    </xf>
    <xf numFmtId="0" fontId="39" fillId="20" borderId="1" xfId="0" applyFont="1" applyFill="1" applyBorder="1" applyAlignment="1">
      <alignment wrapText="1"/>
    </xf>
    <xf numFmtId="0" fontId="61" fillId="20" borderId="1" xfId="0" applyFont="1" applyFill="1" applyBorder="1" applyAlignment="1">
      <alignment wrapText="1"/>
    </xf>
    <xf numFmtId="0" fontId="40" fillId="17" borderId="1" xfId="0" applyFont="1" applyFill="1" applyBorder="1" applyAlignment="1">
      <alignment horizontal="left" vertical="center" wrapText="1"/>
    </xf>
    <xf numFmtId="0" fontId="61" fillId="18" borderId="1" xfId="0" applyFont="1" applyFill="1" applyBorder="1" applyAlignment="1">
      <alignment wrapText="1"/>
    </xf>
    <xf numFmtId="0" fontId="46" fillId="17" borderId="1" xfId="0" applyFont="1" applyFill="1" applyBorder="1" applyAlignment="1">
      <alignment horizontal="left" vertical="center" wrapText="1"/>
    </xf>
    <xf numFmtId="0" fontId="40" fillId="17" borderId="1" xfId="0" applyFont="1" applyFill="1" applyBorder="1" applyAlignment="1">
      <alignment wrapText="1"/>
    </xf>
    <xf numFmtId="0" fontId="40" fillId="4" borderId="1" xfId="0" applyFont="1" applyFill="1" applyBorder="1" applyAlignment="1">
      <alignment vertical="top" wrapText="1"/>
    </xf>
    <xf numFmtId="0" fontId="63" fillId="5" borderId="1" xfId="0" applyFont="1" applyFill="1" applyBorder="1" applyAlignment="1">
      <alignment wrapText="1"/>
    </xf>
    <xf numFmtId="0" fontId="61" fillId="5" borderId="1" xfId="0" applyFont="1" applyFill="1" applyBorder="1" applyAlignment="1">
      <alignment vertical="center" wrapText="1"/>
    </xf>
    <xf numFmtId="0" fontId="64" fillId="4" borderId="1" xfId="0" applyFont="1" applyFill="1" applyBorder="1" applyAlignment="1">
      <alignment horizontal="left" vertical="center" wrapText="1"/>
    </xf>
    <xf numFmtId="0" fontId="40" fillId="4" borderId="1" xfId="0" applyFont="1" applyFill="1" applyBorder="1" applyAlignment="1">
      <alignment wrapText="1"/>
    </xf>
    <xf numFmtId="0" fontId="4" fillId="0" borderId="0" xfId="0" applyFont="1" applyAlignment="1">
      <alignment horizontal="right" vertical="center" wrapText="1"/>
    </xf>
    <xf numFmtId="0" fontId="65" fillId="0" borderId="0" xfId="0" applyFont="1" applyAlignment="1">
      <alignment horizontal="center" vertical="center" wrapText="1"/>
    </xf>
    <xf numFmtId="0" fontId="67" fillId="0" borderId="0" xfId="0" applyFont="1" applyAlignment="1">
      <alignment wrapText="1"/>
    </xf>
    <xf numFmtId="0" fontId="66" fillId="0" borderId="0" xfId="0" applyFont="1" applyBorder="1" applyAlignment="1">
      <alignment horizontal="center" wrapText="1"/>
    </xf>
    <xf numFmtId="0" fontId="68" fillId="0" borderId="0" xfId="0" applyFont="1" applyAlignment="1">
      <alignment horizontal="right" vertical="center" wrapText="1"/>
    </xf>
    <xf numFmtId="0" fontId="67" fillId="0" borderId="0" xfId="0" applyFont="1" applyAlignment="1">
      <alignment horizontal="right" vertical="center" wrapText="1"/>
    </xf>
    <xf numFmtId="0" fontId="69" fillId="0" borderId="0" xfId="0" applyFont="1" applyAlignment="1">
      <alignment horizontal="right" vertical="center" wrapText="1"/>
    </xf>
    <xf numFmtId="0" fontId="74" fillId="0" borderId="1" xfId="0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 vertical="center" wrapText="1"/>
    </xf>
    <xf numFmtId="0" fontId="65" fillId="7" borderId="0" xfId="0" applyFont="1" applyFill="1" applyAlignment="1">
      <alignment horizontal="center" vertical="center" wrapText="1"/>
    </xf>
    <xf numFmtId="0" fontId="68" fillId="30" borderId="1" xfId="0" applyFont="1" applyFill="1" applyBorder="1" applyAlignment="1">
      <alignment horizontal="right" vertical="center" wrapText="1"/>
    </xf>
    <xf numFmtId="174" fontId="75" fillId="30" borderId="1" xfId="0" applyNumberFormat="1" applyFont="1" applyFill="1" applyBorder="1" applyAlignment="1">
      <alignment horizontal="right" vertical="center" wrapText="1"/>
    </xf>
    <xf numFmtId="174" fontId="68" fillId="30" borderId="1" xfId="0" applyNumberFormat="1" applyFont="1" applyFill="1" applyBorder="1" applyAlignment="1">
      <alignment horizontal="right" vertical="center"/>
    </xf>
    <xf numFmtId="179" fontId="76" fillId="30" borderId="33" xfId="0" applyNumberFormat="1" applyFont="1" applyFill="1" applyBorder="1" applyAlignment="1">
      <alignment horizontal="center" vertical="center" wrapText="1"/>
    </xf>
    <xf numFmtId="174" fontId="76" fillId="10" borderId="3" xfId="0" applyNumberFormat="1" applyFont="1" applyFill="1" applyBorder="1" applyAlignment="1">
      <alignment horizontal="right" vertical="center"/>
    </xf>
    <xf numFmtId="174" fontId="76" fillId="31" borderId="1" xfId="0" applyNumberFormat="1" applyFont="1" applyFill="1" applyBorder="1" applyAlignment="1">
      <alignment wrapText="1"/>
    </xf>
    <xf numFmtId="179" fontId="68" fillId="20" borderId="1" xfId="0" applyNumberFormat="1" applyFont="1" applyFill="1" applyBorder="1" applyAlignment="1">
      <alignment horizontal="right" vertical="center" wrapText="1"/>
    </xf>
    <xf numFmtId="174" fontId="67" fillId="20" borderId="1" xfId="0" applyNumberFormat="1" applyFont="1" applyFill="1" applyBorder="1" applyAlignment="1">
      <alignment horizontal="center" vertical="center"/>
    </xf>
    <xf numFmtId="179" fontId="67" fillId="20" borderId="1" xfId="0" applyNumberFormat="1" applyFont="1" applyFill="1" applyBorder="1" applyAlignment="1">
      <alignment horizontal="center" vertical="center" wrapText="1"/>
    </xf>
    <xf numFmtId="179" fontId="67" fillId="20" borderId="1" xfId="0" applyNumberFormat="1" applyFont="1" applyFill="1" applyBorder="1" applyAlignment="1">
      <alignment horizontal="center" vertical="center"/>
    </xf>
    <xf numFmtId="179" fontId="67" fillId="20" borderId="1" xfId="0" applyNumberFormat="1" applyFont="1" applyFill="1" applyBorder="1" applyAlignment="1">
      <alignment horizontal="right" vertical="center"/>
    </xf>
    <xf numFmtId="0" fontId="76" fillId="0" borderId="0" xfId="0" applyFont="1" applyAlignment="1">
      <alignment wrapText="1"/>
    </xf>
    <xf numFmtId="179" fontId="68" fillId="8" borderId="1" xfId="0" applyNumberFormat="1" applyFont="1" applyFill="1" applyBorder="1" applyAlignment="1">
      <alignment horizontal="right" vertical="center" wrapText="1"/>
    </xf>
    <xf numFmtId="0" fontId="67" fillId="8" borderId="1" xfId="0" applyFont="1" applyFill="1" applyBorder="1" applyAlignment="1">
      <alignment horizontal="right" vertical="center" wrapText="1"/>
    </xf>
    <xf numFmtId="174" fontId="68" fillId="8" borderId="1" xfId="0" applyNumberFormat="1" applyFont="1" applyFill="1" applyBorder="1" applyAlignment="1">
      <alignment horizontal="right" vertical="center" wrapText="1"/>
    </xf>
    <xf numFmtId="174" fontId="66" fillId="8" borderId="1" xfId="0" applyNumberFormat="1" applyFont="1" applyFill="1" applyBorder="1" applyAlignment="1">
      <alignment horizontal="right" vertical="center" wrapText="1"/>
    </xf>
    <xf numFmtId="179" fontId="68" fillId="4" borderId="1" xfId="0" applyNumberFormat="1" applyFont="1" applyFill="1" applyBorder="1" applyAlignment="1">
      <alignment horizontal="right" vertical="center" wrapText="1"/>
    </xf>
    <xf numFmtId="174" fontId="68" fillId="4" borderId="1" xfId="0" applyNumberFormat="1" applyFont="1" applyFill="1" applyBorder="1" applyAlignment="1">
      <alignment horizontal="right" vertical="center" wrapText="1"/>
    </xf>
    <xf numFmtId="0" fontId="67" fillId="4" borderId="1" xfId="0" applyFont="1" applyFill="1" applyBorder="1" applyAlignment="1">
      <alignment horizontal="right" vertical="center" wrapText="1"/>
    </xf>
    <xf numFmtId="179" fontId="77" fillId="4" borderId="1" xfId="0" applyNumberFormat="1" applyFont="1" applyFill="1" applyBorder="1" applyAlignment="1">
      <alignment horizontal="center" vertical="center" wrapText="1"/>
    </xf>
    <xf numFmtId="174" fontId="76" fillId="31" borderId="0" xfId="0" applyNumberFormat="1" applyFont="1" applyFill="1" applyAlignment="1">
      <alignment wrapText="1"/>
    </xf>
    <xf numFmtId="179" fontId="68" fillId="5" borderId="1" xfId="0" applyNumberFormat="1" applyFont="1" applyFill="1" applyBorder="1" applyAlignment="1">
      <alignment horizontal="right" vertical="center" wrapText="1"/>
    </xf>
    <xf numFmtId="179" fontId="67" fillId="5" borderId="1" xfId="0" applyNumberFormat="1" applyFont="1" applyFill="1" applyBorder="1" applyAlignment="1">
      <alignment horizontal="right" vertical="center" wrapText="1"/>
    </xf>
    <xf numFmtId="179" fontId="67" fillId="5" borderId="1" xfId="0" applyNumberFormat="1" applyFont="1" applyFill="1" applyBorder="1" applyAlignment="1">
      <alignment horizontal="center" vertical="center" wrapText="1"/>
    </xf>
    <xf numFmtId="174" fontId="67" fillId="5" borderId="1" xfId="0" applyNumberFormat="1" applyFont="1" applyFill="1" applyBorder="1" applyAlignment="1">
      <alignment horizontal="right" vertical="center"/>
    </xf>
    <xf numFmtId="179" fontId="77" fillId="7" borderId="1" xfId="0" applyNumberFormat="1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179" fontId="78" fillId="5" borderId="1" xfId="0" applyNumberFormat="1" applyFont="1" applyFill="1" applyBorder="1" applyAlignment="1">
      <alignment horizontal="right" vertical="center" wrapText="1"/>
    </xf>
    <xf numFmtId="179" fontId="79" fillId="5" borderId="1" xfId="0" applyNumberFormat="1" applyFont="1" applyFill="1" applyBorder="1" applyAlignment="1">
      <alignment horizontal="center" vertical="center" wrapText="1"/>
    </xf>
    <xf numFmtId="174" fontId="79" fillId="5" borderId="1" xfId="0" applyNumberFormat="1" applyFont="1" applyFill="1" applyBorder="1" applyAlignment="1">
      <alignment horizontal="center" vertical="center" wrapText="1"/>
    </xf>
    <xf numFmtId="179" fontId="80" fillId="7" borderId="1" xfId="0" applyNumberFormat="1" applyFont="1" applyFill="1" applyBorder="1" applyAlignment="1">
      <alignment horizontal="center" vertical="center" wrapText="1"/>
    </xf>
    <xf numFmtId="0" fontId="81" fillId="0" borderId="0" xfId="0" applyFont="1" applyAlignment="1">
      <alignment wrapText="1"/>
    </xf>
    <xf numFmtId="174" fontId="67" fillId="5" borderId="1" xfId="0" applyNumberFormat="1" applyFont="1" applyFill="1" applyBorder="1" applyAlignment="1">
      <alignment horizontal="center" vertical="center"/>
    </xf>
    <xf numFmtId="179" fontId="78" fillId="4" borderId="1" xfId="0" applyNumberFormat="1" applyFont="1" applyFill="1" applyBorder="1" applyAlignment="1">
      <alignment horizontal="right" vertical="center" wrapText="1"/>
    </xf>
    <xf numFmtId="0" fontId="79" fillId="4" borderId="1" xfId="0" applyFont="1" applyFill="1" applyBorder="1" applyAlignment="1">
      <alignment horizontal="center" vertical="center" wrapText="1"/>
    </xf>
    <xf numFmtId="174" fontId="78" fillId="4" borderId="1" xfId="0" applyNumberFormat="1" applyFont="1" applyFill="1" applyBorder="1" applyAlignment="1">
      <alignment horizontal="right" vertical="center" wrapText="1"/>
    </xf>
    <xf numFmtId="179" fontId="80" fillId="4" borderId="1" xfId="0" applyNumberFormat="1" applyFont="1" applyFill="1" applyBorder="1" applyAlignment="1">
      <alignment horizontal="center" vertical="center" wrapText="1"/>
    </xf>
    <xf numFmtId="174" fontId="81" fillId="31" borderId="0" xfId="0" applyNumberFormat="1" applyFont="1" applyFill="1" applyAlignment="1">
      <alignment wrapText="1"/>
    </xf>
    <xf numFmtId="0" fontId="65" fillId="4" borderId="0" xfId="0" applyFont="1" applyFill="1" applyAlignment="1">
      <alignment horizontal="center" vertical="center" wrapText="1"/>
    </xf>
    <xf numFmtId="174" fontId="67" fillId="4" borderId="1" xfId="0" applyNumberFormat="1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 wrapText="1"/>
    </xf>
    <xf numFmtId="179" fontId="77" fillId="7" borderId="1" xfId="0" applyNumberFormat="1" applyFont="1" applyFill="1" applyBorder="1" applyAlignment="1">
      <alignment horizontal="right" vertical="center" wrapText="1"/>
    </xf>
    <xf numFmtId="0" fontId="76" fillId="7" borderId="0" xfId="0" applyFont="1" applyFill="1" applyAlignment="1">
      <alignment wrapText="1"/>
    </xf>
    <xf numFmtId="0" fontId="66" fillId="4" borderId="0" xfId="0" applyFont="1" applyFill="1" applyAlignment="1">
      <alignment horizontal="center" vertical="center" wrapText="1"/>
    </xf>
    <xf numFmtId="179" fontId="66" fillId="4" borderId="1" xfId="0" applyNumberFormat="1" applyFont="1" applyFill="1" applyBorder="1" applyAlignment="1">
      <alignment horizontal="right" vertical="center" wrapText="1"/>
    </xf>
    <xf numFmtId="174" fontId="66" fillId="4" borderId="1" xfId="0" applyNumberFormat="1" applyFont="1" applyFill="1" applyBorder="1" applyAlignment="1">
      <alignment horizontal="center" vertical="center" wrapText="1"/>
    </xf>
    <xf numFmtId="0" fontId="82" fillId="4" borderId="1" xfId="0" applyFont="1" applyFill="1" applyBorder="1" applyAlignment="1">
      <alignment horizontal="center" vertical="center" wrapText="1"/>
    </xf>
    <xf numFmtId="0" fontId="66" fillId="4" borderId="1" xfId="0" applyFont="1" applyFill="1" applyBorder="1" applyAlignment="1">
      <alignment horizontal="center" vertical="center" wrapText="1"/>
    </xf>
    <xf numFmtId="0" fontId="67" fillId="5" borderId="0" xfId="0" applyFont="1" applyFill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7" fillId="4" borderId="0" xfId="0" applyFont="1" applyFill="1" applyAlignment="1">
      <alignment horizontal="center" vertical="center" wrapText="1"/>
    </xf>
    <xf numFmtId="174" fontId="67" fillId="4" borderId="1" xfId="0" applyNumberFormat="1" applyFont="1" applyFill="1" applyBorder="1" applyAlignment="1">
      <alignment horizontal="right" vertical="center" wrapText="1"/>
    </xf>
    <xf numFmtId="179" fontId="68" fillId="16" borderId="1" xfId="0" applyNumberFormat="1" applyFont="1" applyFill="1" applyBorder="1" applyAlignment="1">
      <alignment horizontal="right" vertical="center" wrapText="1"/>
    </xf>
    <xf numFmtId="0" fontId="67" fillId="16" borderId="1" xfId="0" applyFont="1" applyFill="1" applyBorder="1" applyAlignment="1">
      <alignment horizontal="center" vertical="center" wrapText="1"/>
    </xf>
    <xf numFmtId="174" fontId="76" fillId="16" borderId="27" xfId="0" applyNumberFormat="1" applyFont="1" applyFill="1" applyBorder="1" applyAlignment="1">
      <alignment horizontal="center" vertical="center" wrapText="1"/>
    </xf>
    <xf numFmtId="179" fontId="66" fillId="16" borderId="1" xfId="0" applyNumberFormat="1" applyFont="1" applyFill="1" applyBorder="1" applyAlignment="1">
      <alignment horizontal="right" vertical="center" wrapText="1"/>
    </xf>
    <xf numFmtId="0" fontId="66" fillId="17" borderId="1" xfId="0" applyFont="1" applyFill="1" applyBorder="1" applyAlignment="1">
      <alignment horizontal="left" vertical="center" wrapText="1"/>
    </xf>
    <xf numFmtId="179" fontId="68" fillId="17" borderId="1" xfId="0" applyNumberFormat="1" applyFont="1" applyFill="1" applyBorder="1" applyAlignment="1">
      <alignment horizontal="right" vertical="center" wrapText="1"/>
    </xf>
    <xf numFmtId="0" fontId="67" fillId="17" borderId="1" xfId="0" applyFont="1" applyFill="1" applyBorder="1" applyAlignment="1">
      <alignment horizontal="center" vertical="center" wrapText="1"/>
    </xf>
    <xf numFmtId="179" fontId="66" fillId="17" borderId="14" xfId="0" applyNumberFormat="1" applyFont="1" applyFill="1" applyBorder="1" applyAlignment="1">
      <alignment horizontal="center" vertical="center" wrapText="1"/>
    </xf>
    <xf numFmtId="179" fontId="67" fillId="18" borderId="1" xfId="0" applyNumberFormat="1" applyFont="1" applyFill="1" applyBorder="1" applyAlignment="1">
      <alignment horizontal="center" vertical="center" wrapText="1"/>
    </xf>
    <xf numFmtId="179" fontId="67" fillId="18" borderId="1" xfId="0" applyNumberFormat="1" applyFont="1" applyFill="1" applyBorder="1" applyAlignment="1">
      <alignment horizontal="right" vertical="center" wrapText="1"/>
    </xf>
    <xf numFmtId="179" fontId="67" fillId="0" borderId="1" xfId="0" applyNumberFormat="1" applyFont="1" applyBorder="1" applyAlignment="1">
      <alignment horizontal="right" vertical="center" wrapText="1"/>
    </xf>
    <xf numFmtId="179" fontId="67" fillId="17" borderId="1" xfId="0" applyNumberFormat="1" applyFont="1" applyFill="1" applyBorder="1" applyAlignment="1">
      <alignment horizontal="center" vertical="center" wrapText="1"/>
    </xf>
    <xf numFmtId="179" fontId="67" fillId="7" borderId="1" xfId="0" applyNumberFormat="1" applyFont="1" applyFill="1" applyBorder="1" applyAlignment="1">
      <alignment horizontal="right" vertical="center" wrapText="1"/>
    </xf>
    <xf numFmtId="0" fontId="76" fillId="32" borderId="0" xfId="0" applyFont="1" applyFill="1" applyAlignment="1">
      <alignment wrapText="1"/>
    </xf>
    <xf numFmtId="179" fontId="83" fillId="18" borderId="1" xfId="0" applyNumberFormat="1" applyFont="1" applyFill="1" applyBorder="1" applyAlignment="1">
      <alignment horizontal="right" vertical="center" wrapText="1"/>
    </xf>
    <xf numFmtId="179" fontId="84" fillId="17" borderId="1" xfId="0" applyNumberFormat="1" applyFont="1" applyFill="1" applyBorder="1" applyAlignment="1">
      <alignment horizontal="right" vertical="center" wrapText="1"/>
    </xf>
    <xf numFmtId="179" fontId="84" fillId="17" borderId="1" xfId="0" applyNumberFormat="1" applyFont="1" applyFill="1" applyBorder="1" applyAlignment="1">
      <alignment horizontal="center" vertical="center" wrapText="1"/>
    </xf>
    <xf numFmtId="179" fontId="69" fillId="17" borderId="1" xfId="0" applyNumberFormat="1" applyFont="1" applyFill="1" applyBorder="1" applyAlignment="1">
      <alignment horizontal="center" vertical="center" wrapText="1"/>
    </xf>
    <xf numFmtId="179" fontId="85" fillId="17" borderId="1" xfId="0" applyNumberFormat="1" applyFont="1" applyFill="1" applyBorder="1" applyAlignment="1">
      <alignment horizontal="right" vertical="center" wrapText="1"/>
    </xf>
    <xf numFmtId="179" fontId="84" fillId="17" borderId="14" xfId="0" applyNumberFormat="1" applyFont="1" applyFill="1" applyBorder="1" applyAlignment="1">
      <alignment horizontal="center" vertical="center" wrapText="1"/>
    </xf>
    <xf numFmtId="174" fontId="86" fillId="10" borderId="3" xfId="0" applyNumberFormat="1" applyFont="1" applyFill="1" applyBorder="1" applyAlignment="1">
      <alignment horizontal="right" vertical="center"/>
    </xf>
    <xf numFmtId="174" fontId="86" fillId="31" borderId="0" xfId="0" applyNumberFormat="1" applyFont="1" applyFill="1" applyAlignment="1">
      <alignment wrapText="1"/>
    </xf>
    <xf numFmtId="179" fontId="87" fillId="17" borderId="1" xfId="0" applyNumberFormat="1" applyFont="1" applyFill="1" applyBorder="1" applyAlignment="1">
      <alignment horizontal="center" vertical="center" wrapText="1"/>
    </xf>
    <xf numFmtId="179" fontId="88" fillId="17" borderId="1" xfId="0" applyNumberFormat="1" applyFont="1" applyFill="1" applyBorder="1" applyAlignment="1">
      <alignment horizontal="right" vertical="center" wrapText="1"/>
    </xf>
    <xf numFmtId="179" fontId="89" fillId="17" borderId="14" xfId="0" applyNumberFormat="1" applyFont="1" applyFill="1" applyBorder="1" applyAlignment="1">
      <alignment horizontal="center" vertical="center" wrapText="1"/>
    </xf>
    <xf numFmtId="174" fontId="76" fillId="6" borderId="0" xfId="0" applyNumberFormat="1" applyFont="1" applyFill="1" applyAlignment="1">
      <alignment wrapText="1"/>
    </xf>
    <xf numFmtId="179" fontId="66" fillId="17" borderId="1" xfId="0" applyNumberFormat="1" applyFont="1" applyFill="1" applyBorder="1" applyAlignment="1">
      <alignment horizontal="right" vertical="center" wrapText="1"/>
    </xf>
    <xf numFmtId="179" fontId="66" fillId="17" borderId="1" xfId="0" applyNumberFormat="1" applyFont="1" applyFill="1" applyBorder="1" applyAlignment="1">
      <alignment horizontal="center" vertical="center" wrapText="1"/>
    </xf>
    <xf numFmtId="179" fontId="67" fillId="17" borderId="1" xfId="0" applyNumberFormat="1" applyFont="1" applyFill="1" applyBorder="1" applyAlignment="1">
      <alignment horizontal="right" vertical="center" wrapText="1"/>
    </xf>
    <xf numFmtId="179" fontId="68" fillId="19" borderId="1" xfId="0" applyNumberFormat="1" applyFont="1" applyFill="1" applyBorder="1" applyAlignment="1">
      <alignment horizontal="right" vertical="center" wrapText="1"/>
    </xf>
    <xf numFmtId="0" fontId="67" fillId="19" borderId="1" xfId="0" applyFont="1" applyFill="1" applyBorder="1" applyAlignment="1">
      <alignment horizontal="center" vertical="center" wrapText="1"/>
    </xf>
    <xf numFmtId="179" fontId="67" fillId="19" borderId="1" xfId="0" applyNumberFormat="1" applyFont="1" applyFill="1" applyBorder="1" applyAlignment="1">
      <alignment horizontal="right" vertical="center" wrapText="1"/>
    </xf>
    <xf numFmtId="179" fontId="66" fillId="19" borderId="1" xfId="0" applyNumberFormat="1" applyFont="1" applyFill="1" applyBorder="1" applyAlignment="1">
      <alignment horizontal="right" vertical="center" wrapText="1"/>
    </xf>
    <xf numFmtId="179" fontId="66" fillId="4" borderId="39" xfId="0" applyNumberFormat="1" applyFont="1" applyFill="1" applyBorder="1" applyAlignment="1">
      <alignment horizontal="right" vertical="center" wrapText="1"/>
    </xf>
    <xf numFmtId="174" fontId="66" fillId="4" borderId="39" xfId="0" applyNumberFormat="1" applyFont="1" applyFill="1" applyBorder="1" applyAlignment="1">
      <alignment horizontal="right" vertical="center" wrapText="1"/>
    </xf>
    <xf numFmtId="179" fontId="68" fillId="11" borderId="1" xfId="0" applyNumberFormat="1" applyFont="1" applyFill="1" applyBorder="1" applyAlignment="1">
      <alignment horizontal="right" vertical="center" wrapText="1"/>
    </xf>
    <xf numFmtId="0" fontId="67" fillId="11" borderId="1" xfId="0" applyFont="1" applyFill="1" applyBorder="1" applyAlignment="1">
      <alignment horizontal="center" vertical="center" wrapText="1"/>
    </xf>
    <xf numFmtId="179" fontId="66" fillId="11" borderId="1" xfId="0" applyNumberFormat="1" applyFont="1" applyFill="1" applyBorder="1" applyAlignment="1">
      <alignment wrapText="1"/>
    </xf>
    <xf numFmtId="179" fontId="68" fillId="24" borderId="1" xfId="0" applyNumberFormat="1" applyFont="1" applyFill="1" applyBorder="1" applyAlignment="1">
      <alignment horizontal="right" vertical="center" wrapText="1"/>
    </xf>
    <xf numFmtId="0" fontId="67" fillId="24" borderId="1" xfId="0" applyFont="1" applyFill="1" applyBorder="1" applyAlignment="1">
      <alignment horizontal="center" vertical="center" wrapText="1"/>
    </xf>
    <xf numFmtId="179" fontId="66" fillId="24" borderId="1" xfId="0" applyNumberFormat="1" applyFont="1" applyFill="1" applyBorder="1" applyAlignment="1">
      <alignment wrapText="1"/>
    </xf>
    <xf numFmtId="179" fontId="68" fillId="21" borderId="1" xfId="0" applyNumberFormat="1" applyFont="1" applyFill="1" applyBorder="1" applyAlignment="1">
      <alignment horizontal="right" vertical="center" wrapText="1"/>
    </xf>
    <xf numFmtId="174" fontId="67" fillId="21" borderId="1" xfId="0" applyNumberFormat="1" applyFont="1" applyFill="1" applyBorder="1" applyAlignment="1">
      <alignment horizontal="center" vertical="center"/>
    </xf>
    <xf numFmtId="174" fontId="67" fillId="21" borderId="1" xfId="0" applyNumberFormat="1" applyFont="1" applyFill="1" applyBorder="1" applyAlignment="1">
      <alignment horizontal="center" vertical="center" wrapText="1"/>
    </xf>
    <xf numFmtId="179" fontId="66" fillId="0" borderId="1" xfId="0" applyNumberFormat="1" applyFont="1" applyBorder="1" applyAlignment="1">
      <alignment horizontal="right" wrapText="1"/>
    </xf>
    <xf numFmtId="174" fontId="67" fillId="24" borderId="1" xfId="0" applyNumberFormat="1" applyFont="1" applyFill="1" applyBorder="1" applyAlignment="1">
      <alignment horizontal="center" vertical="center" wrapText="1"/>
    </xf>
    <xf numFmtId="179" fontId="66" fillId="24" borderId="1" xfId="0" applyNumberFormat="1" applyFont="1" applyFill="1" applyBorder="1" applyAlignment="1">
      <alignment horizontal="right" wrapText="1"/>
    </xf>
    <xf numFmtId="0" fontId="66" fillId="7" borderId="23" xfId="0" applyFont="1" applyFill="1" applyBorder="1" applyAlignment="1">
      <alignment horizontal="right" vertical="center" wrapText="1"/>
    </xf>
    <xf numFmtId="174" fontId="66" fillId="24" borderId="1" xfId="0" applyNumberFormat="1" applyFont="1" applyFill="1" applyBorder="1" applyAlignment="1">
      <alignment horizontal="right" vertical="center" wrapText="1"/>
    </xf>
    <xf numFmtId="174" fontId="77" fillId="10" borderId="23" xfId="0" applyNumberFormat="1" applyFont="1" applyFill="1" applyBorder="1" applyAlignment="1">
      <alignment horizontal="right" vertical="center" wrapText="1"/>
    </xf>
    <xf numFmtId="174" fontId="67" fillId="21" borderId="1" xfId="0" applyNumberFormat="1" applyFont="1" applyFill="1" applyBorder="1" applyAlignment="1">
      <alignment horizontal="right" vertical="center" wrapText="1"/>
    </xf>
    <xf numFmtId="179" fontId="67" fillId="0" borderId="1" xfId="0" applyNumberFormat="1" applyFont="1" applyBorder="1" applyAlignment="1">
      <alignment horizontal="right" wrapText="1"/>
    </xf>
    <xf numFmtId="179" fontId="68" fillId="22" borderId="1" xfId="0" applyNumberFormat="1" applyFont="1" applyFill="1" applyBorder="1" applyAlignment="1">
      <alignment horizontal="right" vertical="center" wrapText="1"/>
    </xf>
    <xf numFmtId="0" fontId="67" fillId="22" borderId="1" xfId="0" applyFont="1" applyFill="1" applyBorder="1" applyAlignment="1">
      <alignment horizontal="center" vertical="center" wrapText="1"/>
    </xf>
    <xf numFmtId="179" fontId="66" fillId="22" borderId="1" xfId="0" applyNumberFormat="1" applyFont="1" applyFill="1" applyBorder="1" applyAlignment="1">
      <alignment horizontal="right" vertical="center" wrapText="1"/>
    </xf>
    <xf numFmtId="179" fontId="76" fillId="10" borderId="1" xfId="0" applyNumberFormat="1" applyFont="1" applyFill="1" applyBorder="1" applyAlignment="1">
      <alignment horizontal="right" vertical="center" wrapText="1"/>
    </xf>
    <xf numFmtId="179" fontId="76" fillId="0" borderId="0" xfId="0" applyNumberFormat="1" applyFont="1" applyAlignment="1">
      <alignment wrapText="1"/>
    </xf>
    <xf numFmtId="179" fontId="68" fillId="25" borderId="1" xfId="0" applyNumberFormat="1" applyFont="1" applyFill="1" applyBorder="1" applyAlignment="1">
      <alignment horizontal="right" vertical="center" wrapText="1"/>
    </xf>
    <xf numFmtId="0" fontId="67" fillId="25" borderId="1" xfId="0" applyFont="1" applyFill="1" applyBorder="1" applyAlignment="1">
      <alignment horizontal="center" vertical="center" wrapText="1"/>
    </xf>
    <xf numFmtId="179" fontId="67" fillId="25" borderId="1" xfId="0" applyNumberFormat="1" applyFont="1" applyFill="1" applyBorder="1" applyAlignment="1">
      <alignment horizontal="right" vertical="center" wrapText="1"/>
    </xf>
    <xf numFmtId="179" fontId="66" fillId="25" borderId="1" xfId="0" applyNumberFormat="1" applyFont="1" applyFill="1" applyBorder="1" applyAlignment="1">
      <alignment horizontal="right" vertical="center" wrapText="1"/>
    </xf>
    <xf numFmtId="174" fontId="77" fillId="10" borderId="1" xfId="0" applyNumberFormat="1" applyFont="1" applyFill="1" applyBorder="1" applyAlignment="1">
      <alignment horizontal="right" vertical="center" wrapText="1"/>
    </xf>
    <xf numFmtId="179" fontId="68" fillId="9" borderId="1" xfId="0" applyNumberFormat="1" applyFont="1" applyFill="1" applyBorder="1" applyAlignment="1">
      <alignment horizontal="right" vertical="center" wrapText="1"/>
    </xf>
    <xf numFmtId="174" fontId="67" fillId="9" borderId="1" xfId="0" applyNumberFormat="1" applyFont="1" applyFill="1" applyBorder="1" applyAlignment="1">
      <alignment horizontal="center" vertical="center"/>
    </xf>
    <xf numFmtId="174" fontId="67" fillId="9" borderId="1" xfId="0" applyNumberFormat="1" applyFont="1" applyFill="1" applyBorder="1" applyAlignment="1">
      <alignment horizontal="right" vertical="center"/>
    </xf>
    <xf numFmtId="179" fontId="66" fillId="0" borderId="1" xfId="0" applyNumberFormat="1" applyFont="1" applyBorder="1" applyAlignment="1">
      <alignment horizontal="right" vertical="center" wrapText="1"/>
    </xf>
    <xf numFmtId="0" fontId="66" fillId="0" borderId="1" xfId="0" applyFont="1" applyBorder="1" applyAlignment="1">
      <alignment horizontal="right" vertical="center" wrapText="1"/>
    </xf>
    <xf numFmtId="174" fontId="66" fillId="7" borderId="1" xfId="0" applyNumberFormat="1" applyFont="1" applyFill="1" applyBorder="1" applyAlignment="1">
      <alignment horizontal="right" vertical="center" wrapText="1"/>
    </xf>
    <xf numFmtId="179" fontId="68" fillId="10" borderId="1" xfId="0" applyNumberFormat="1" applyFont="1" applyFill="1" applyBorder="1" applyAlignment="1">
      <alignment horizontal="right" vertical="center" wrapText="1"/>
    </xf>
    <xf numFmtId="0" fontId="67" fillId="10" borderId="1" xfId="0" applyFont="1" applyFill="1" applyBorder="1" applyAlignment="1">
      <alignment horizontal="center" vertical="center" wrapText="1"/>
    </xf>
    <xf numFmtId="0" fontId="68" fillId="10" borderId="1" xfId="0" applyFont="1" applyFill="1" applyBorder="1" applyAlignment="1">
      <alignment horizontal="right" vertical="center" wrapText="1"/>
    </xf>
    <xf numFmtId="0" fontId="66" fillId="10" borderId="1" xfId="0" applyFont="1" applyFill="1" applyBorder="1" applyAlignment="1">
      <alignment vertical="center" wrapText="1"/>
    </xf>
    <xf numFmtId="174" fontId="76" fillId="10" borderId="1" xfId="0" applyNumberFormat="1" applyFont="1" applyFill="1" applyBorder="1" applyAlignment="1">
      <alignment horizontal="right" vertical="center" wrapText="1"/>
    </xf>
    <xf numFmtId="174" fontId="76" fillId="0" borderId="0" xfId="0" applyNumberFormat="1" applyFont="1" applyAlignment="1">
      <alignment wrapText="1"/>
    </xf>
    <xf numFmtId="179" fontId="68" fillId="26" borderId="3" xfId="0" applyNumberFormat="1" applyFont="1" applyFill="1" applyBorder="1" applyAlignment="1">
      <alignment horizontal="right" vertical="center" wrapText="1"/>
    </xf>
    <xf numFmtId="0" fontId="67" fillId="26" borderId="3" xfId="0" applyFont="1" applyFill="1" applyBorder="1" applyAlignment="1">
      <alignment horizontal="center" vertical="center" wrapText="1"/>
    </xf>
    <xf numFmtId="0" fontId="67" fillId="26" borderId="3" xfId="0" applyFont="1" applyFill="1" applyBorder="1" applyAlignment="1">
      <alignment horizontal="right" vertical="center" wrapText="1"/>
    </xf>
    <xf numFmtId="179" fontId="66" fillId="26" borderId="3" xfId="0" applyNumberFormat="1" applyFont="1" applyFill="1" applyBorder="1" applyAlignment="1">
      <alignment vertical="center" wrapText="1"/>
    </xf>
    <xf numFmtId="174" fontId="77" fillId="10" borderId="3" xfId="0" applyNumberFormat="1" applyFont="1" applyFill="1" applyBorder="1" applyAlignment="1">
      <alignment horizontal="right" vertical="center" wrapText="1"/>
    </xf>
    <xf numFmtId="179" fontId="67" fillId="0" borderId="1" xfId="0" applyNumberFormat="1" applyFont="1" applyBorder="1" applyAlignment="1">
      <alignment vertical="center" wrapText="1"/>
    </xf>
    <xf numFmtId="174" fontId="66" fillId="10" borderId="1" xfId="0" applyNumberFormat="1" applyFont="1" applyFill="1" applyBorder="1" applyAlignment="1">
      <alignment horizontal="right" vertical="center" wrapText="1"/>
    </xf>
    <xf numFmtId="0" fontId="66" fillId="27" borderId="1" xfId="0" applyFont="1" applyFill="1" applyBorder="1" applyAlignment="1">
      <alignment wrapText="1"/>
    </xf>
    <xf numFmtId="0" fontId="68" fillId="27" borderId="1" xfId="0" applyFont="1" applyFill="1" applyBorder="1" applyAlignment="1">
      <alignment horizontal="right" vertical="center" wrapText="1"/>
    </xf>
    <xf numFmtId="0" fontId="67" fillId="27" borderId="1" xfId="0" applyFont="1" applyFill="1" applyBorder="1" applyAlignment="1">
      <alignment horizontal="center" vertical="center" wrapText="1"/>
    </xf>
    <xf numFmtId="0" fontId="67" fillId="27" borderId="1" xfId="0" applyFont="1" applyFill="1" applyBorder="1" applyAlignment="1">
      <alignment horizontal="right" vertical="center" wrapText="1"/>
    </xf>
    <xf numFmtId="0" fontId="83" fillId="28" borderId="1" xfId="0" applyFont="1" applyFill="1" applyBorder="1" applyAlignment="1">
      <alignment wrapText="1"/>
    </xf>
    <xf numFmtId="0" fontId="68" fillId="28" borderId="1" xfId="0" applyFont="1" applyFill="1" applyBorder="1" applyAlignment="1">
      <alignment horizontal="right" vertical="center" wrapText="1"/>
    </xf>
    <xf numFmtId="0" fontId="67" fillId="28" borderId="1" xfId="0" applyFont="1" applyFill="1" applyBorder="1" applyAlignment="1">
      <alignment horizontal="center" vertical="center" wrapText="1"/>
    </xf>
    <xf numFmtId="179" fontId="68" fillId="28" borderId="1" xfId="0" applyNumberFormat="1" applyFont="1" applyFill="1" applyBorder="1" applyAlignment="1">
      <alignment horizontal="right" vertical="center" wrapText="1"/>
    </xf>
    <xf numFmtId="0" fontId="67" fillId="28" borderId="1" xfId="0" applyFont="1" applyFill="1" applyBorder="1" applyAlignment="1">
      <alignment horizontal="right" vertical="center" wrapText="1"/>
    </xf>
    <xf numFmtId="0" fontId="67" fillId="29" borderId="1" xfId="0" applyFont="1" applyFill="1" applyBorder="1" applyAlignment="1">
      <alignment wrapText="1"/>
    </xf>
    <xf numFmtId="0" fontId="68" fillId="29" borderId="1" xfId="0" applyFont="1" applyFill="1" applyBorder="1" applyAlignment="1">
      <alignment horizontal="right" vertical="center" wrapText="1"/>
    </xf>
    <xf numFmtId="174" fontId="67" fillId="29" borderId="1" xfId="0" applyNumberFormat="1" applyFont="1" applyFill="1" applyBorder="1" applyAlignment="1">
      <alignment horizontal="center" vertical="center"/>
    </xf>
    <xf numFmtId="179" fontId="67" fillId="29" borderId="1" xfId="0" applyNumberFormat="1" applyFont="1" applyFill="1" applyBorder="1" applyAlignment="1">
      <alignment horizontal="center" vertical="center" wrapText="1"/>
    </xf>
    <xf numFmtId="174" fontId="67" fillId="29" borderId="1" xfId="0" applyNumberFormat="1" applyFont="1" applyFill="1" applyBorder="1" applyAlignment="1">
      <alignment horizontal="center" vertical="center" wrapText="1"/>
    </xf>
    <xf numFmtId="179" fontId="67" fillId="29" borderId="1" xfId="0" applyNumberFormat="1" applyFont="1" applyFill="1" applyBorder="1" applyAlignment="1">
      <alignment horizontal="right" vertical="center" wrapText="1"/>
    </xf>
    <xf numFmtId="0" fontId="67" fillId="7" borderId="1" xfId="0" applyFont="1" applyFill="1" applyBorder="1" applyAlignment="1">
      <alignment horizontal="right" vertical="center" wrapText="1"/>
    </xf>
    <xf numFmtId="0" fontId="67" fillId="10" borderId="1" xfId="0" applyFont="1" applyFill="1" applyBorder="1" applyAlignment="1">
      <alignment horizontal="right" vertical="center" wrapText="1"/>
    </xf>
    <xf numFmtId="174" fontId="66" fillId="10" borderId="3" xfId="0" applyNumberFormat="1" applyFont="1" applyFill="1" applyBorder="1" applyAlignment="1">
      <alignment horizontal="right" vertical="center" wrapText="1"/>
    </xf>
    <xf numFmtId="0" fontId="66" fillId="28" borderId="1" xfId="0" applyFont="1" applyFill="1" applyBorder="1" applyAlignment="1">
      <alignment horizontal="right" vertical="center" wrapText="1"/>
    </xf>
    <xf numFmtId="174" fontId="90" fillId="29" borderId="0" xfId="0" applyNumberFormat="1" applyFont="1" applyFill="1" applyAlignment="1">
      <alignment wrapText="1"/>
    </xf>
    <xf numFmtId="179" fontId="68" fillId="29" borderId="1" xfId="0" applyNumberFormat="1" applyFont="1" applyFill="1" applyBorder="1" applyAlignment="1">
      <alignment horizontal="right" vertical="center" wrapText="1"/>
    </xf>
    <xf numFmtId="0" fontId="71" fillId="0" borderId="0" xfId="0" applyFont="1" applyAlignment="1">
      <alignment wrapText="1"/>
    </xf>
    <xf numFmtId="0" fontId="66" fillId="16" borderId="1" xfId="0" applyFont="1" applyFill="1" applyBorder="1" applyAlignment="1">
      <alignment wrapText="1"/>
    </xf>
    <xf numFmtId="0" fontId="67" fillId="0" borderId="0" xfId="0" applyFont="1" applyAlignment="1"/>
    <xf numFmtId="0" fontId="66" fillId="30" borderId="9" xfId="0" applyFont="1" applyFill="1" applyBorder="1" applyAlignment="1">
      <alignment vertical="top"/>
    </xf>
    <xf numFmtId="0" fontId="66" fillId="8" borderId="9" xfId="0" applyFont="1" applyFill="1" applyBorder="1" applyAlignment="1">
      <alignment vertical="top"/>
    </xf>
    <xf numFmtId="0" fontId="66" fillId="4" borderId="40" xfId="0" applyFont="1" applyFill="1" applyBorder="1" applyAlignment="1">
      <alignment vertical="top"/>
    </xf>
    <xf numFmtId="0" fontId="67" fillId="5" borderId="43" xfId="0" applyFont="1" applyFill="1" applyBorder="1" applyAlignment="1"/>
    <xf numFmtId="0" fontId="66" fillId="4" borderId="43" xfId="0" applyFont="1" applyFill="1" applyBorder="1" applyAlignment="1">
      <alignment vertical="top"/>
    </xf>
    <xf numFmtId="0" fontId="79" fillId="5" borderId="43" xfId="0" applyFont="1" applyFill="1" applyBorder="1" applyAlignment="1"/>
    <xf numFmtId="0" fontId="82" fillId="4" borderId="43" xfId="0" applyFont="1" applyFill="1" applyBorder="1" applyAlignment="1">
      <alignment horizontal="left" vertical="center"/>
    </xf>
    <xf numFmtId="0" fontId="66" fillId="16" borderId="1" xfId="0" applyFont="1" applyFill="1" applyBorder="1" applyAlignment="1"/>
    <xf numFmtId="0" fontId="66" fillId="17" borderId="1" xfId="0" applyFont="1" applyFill="1" applyBorder="1" applyAlignment="1">
      <alignment horizontal="left" vertical="center"/>
    </xf>
    <xf numFmtId="0" fontId="66" fillId="27" borderId="1" xfId="0" applyFont="1" applyFill="1" applyBorder="1" applyAlignment="1"/>
    <xf numFmtId="0" fontId="83" fillId="28" borderId="1" xfId="0" applyFont="1" applyFill="1" applyBorder="1" applyAlignment="1"/>
    <xf numFmtId="0" fontId="67" fillId="29" borderId="1" xfId="0" applyFont="1" applyFill="1" applyBorder="1" applyAlignment="1"/>
    <xf numFmtId="0" fontId="66" fillId="28" borderId="1" xfId="0" applyFont="1" applyFill="1" applyBorder="1" applyAlignment="1"/>
    <xf numFmtId="0" fontId="3" fillId="0" borderId="0" xfId="0" applyFont="1" applyAlignment="1"/>
    <xf numFmtId="0" fontId="92" fillId="20" borderId="62" xfId="0" applyFont="1" applyFill="1" applyBorder="1" applyAlignment="1">
      <alignment vertical="center"/>
    </xf>
    <xf numFmtId="0" fontId="65" fillId="20" borderId="63" xfId="0" applyFont="1" applyFill="1" applyBorder="1" applyAlignment="1">
      <alignment vertical="center"/>
    </xf>
    <xf numFmtId="0" fontId="92" fillId="20" borderId="63" xfId="0" applyFont="1" applyFill="1" applyBorder="1" applyAlignment="1">
      <alignment vertical="center"/>
    </xf>
    <xf numFmtId="0" fontId="93" fillId="5" borderId="0" xfId="0" applyFont="1" applyFill="1" applyAlignment="1"/>
    <xf numFmtId="179" fontId="83" fillId="5" borderId="1" xfId="0" applyNumberFormat="1" applyFont="1" applyFill="1" applyBorder="1" applyAlignment="1">
      <alignment horizontal="right" vertical="center" wrapText="1"/>
    </xf>
    <xf numFmtId="179" fontId="83" fillId="5" borderId="1" xfId="0" applyNumberFormat="1" applyFont="1" applyFill="1" applyBorder="1" applyAlignment="1">
      <alignment horizontal="center" vertical="center" wrapText="1"/>
    </xf>
    <xf numFmtId="174" fontId="83" fillId="5" borderId="1" xfId="0" applyNumberFormat="1" applyFont="1" applyFill="1" applyBorder="1" applyAlignment="1">
      <alignment horizontal="center" vertical="center" wrapText="1"/>
    </xf>
    <xf numFmtId="174" fontId="83" fillId="5" borderId="1" xfId="0" applyNumberFormat="1" applyFont="1" applyFill="1" applyBorder="1" applyAlignment="1">
      <alignment horizontal="right" vertical="center" wrapText="1"/>
    </xf>
    <xf numFmtId="174" fontId="83" fillId="5" borderId="1" xfId="0" applyNumberFormat="1" applyFont="1" applyFill="1" applyBorder="1" applyAlignment="1">
      <alignment horizontal="right" vertical="center"/>
    </xf>
    <xf numFmtId="0" fontId="82" fillId="4" borderId="1" xfId="0" applyFont="1" applyFill="1" applyBorder="1" applyAlignment="1">
      <alignment horizontal="left" vertical="center"/>
    </xf>
    <xf numFmtId="0" fontId="79" fillId="5" borderId="1" xfId="0" applyFont="1" applyFill="1" applyBorder="1" applyAlignment="1"/>
    <xf numFmtId="0" fontId="83" fillId="5" borderId="1" xfId="0" applyFont="1" applyFill="1" applyBorder="1" applyAlignment="1"/>
    <xf numFmtId="0" fontId="66" fillId="4" borderId="1" xfId="0" applyFont="1" applyFill="1" applyBorder="1" applyAlignment="1"/>
    <xf numFmtId="0" fontId="67" fillId="5" borderId="1" xfId="0" applyFont="1" applyFill="1" applyBorder="1" applyAlignment="1"/>
    <xf numFmtId="0" fontId="94" fillId="17" borderId="1" xfId="0" applyFont="1" applyFill="1" applyBorder="1" applyAlignment="1">
      <alignment horizontal="left" vertical="center"/>
    </xf>
    <xf numFmtId="0" fontId="90" fillId="17" borderId="1" xfId="0" applyFont="1" applyFill="1" applyBorder="1" applyAlignment="1">
      <alignment horizontal="left" vertical="center"/>
    </xf>
    <xf numFmtId="0" fontId="95" fillId="17" borderId="1" xfId="0" applyFont="1" applyFill="1" applyBorder="1" applyAlignment="1">
      <alignment horizontal="left" vertical="center"/>
    </xf>
    <xf numFmtId="0" fontId="66" fillId="17" borderId="1" xfId="0" applyFont="1" applyFill="1" applyBorder="1" applyAlignment="1"/>
    <xf numFmtId="0" fontId="66" fillId="19" borderId="1" xfId="0" applyFont="1" applyFill="1" applyBorder="1" applyAlignment="1"/>
    <xf numFmtId="0" fontId="66" fillId="4" borderId="1" xfId="0" applyFont="1" applyFill="1" applyBorder="1" applyAlignment="1">
      <alignment horizontal="left" vertical="center"/>
    </xf>
    <xf numFmtId="0" fontId="65" fillId="20" borderId="1" xfId="0" applyFont="1" applyFill="1" applyBorder="1" applyAlignment="1"/>
    <xf numFmtId="0" fontId="66" fillId="11" borderId="1" xfId="0" applyFont="1" applyFill="1" applyBorder="1" applyAlignment="1"/>
    <xf numFmtId="0" fontId="66" fillId="24" borderId="1" xfId="0" applyFont="1" applyFill="1" applyBorder="1" applyAlignment="1">
      <alignment horizontal="left" vertical="center"/>
    </xf>
    <xf numFmtId="0" fontId="65" fillId="21" borderId="1" xfId="0" applyFont="1" applyFill="1" applyBorder="1" applyAlignment="1"/>
    <xf numFmtId="0" fontId="65" fillId="21" borderId="1" xfId="0" applyFont="1" applyFill="1" applyBorder="1" applyAlignment="1">
      <alignment vertical="center"/>
    </xf>
    <xf numFmtId="0" fontId="66" fillId="22" borderId="1" xfId="0" applyFont="1" applyFill="1" applyBorder="1" applyAlignment="1"/>
    <xf numFmtId="0" fontId="66" fillId="25" borderId="1" xfId="0" applyFont="1" applyFill="1" applyBorder="1" applyAlignment="1">
      <alignment horizontal="left" vertical="center"/>
    </xf>
    <xf numFmtId="0" fontId="65" fillId="9" borderId="1" xfId="0" applyFont="1" applyFill="1" applyBorder="1" applyAlignment="1"/>
    <xf numFmtId="0" fontId="66" fillId="10" borderId="1" xfId="0" applyFont="1" applyFill="1" applyBorder="1" applyAlignment="1"/>
    <xf numFmtId="0" fontId="66" fillId="26" borderId="1" xfId="0" applyFont="1" applyFill="1" applyBorder="1" applyAlignment="1"/>
    <xf numFmtId="0" fontId="93" fillId="18" borderId="1" xfId="0" applyFont="1" applyFill="1" applyBorder="1" applyAlignment="1"/>
    <xf numFmtId="179" fontId="83" fillId="18" borderId="1" xfId="0" applyNumberFormat="1" applyFont="1" applyFill="1" applyBorder="1" applyAlignment="1">
      <alignment horizontal="center" vertical="center" wrapText="1"/>
    </xf>
    <xf numFmtId="179" fontId="83" fillId="20" borderId="1" xfId="0" applyNumberFormat="1" applyFont="1" applyFill="1" applyBorder="1" applyAlignment="1">
      <alignment horizontal="right" vertical="center" wrapText="1"/>
    </xf>
    <xf numFmtId="0" fontId="93" fillId="20" borderId="1" xfId="0" applyFont="1" applyFill="1" applyBorder="1" applyAlignment="1"/>
    <xf numFmtId="174" fontId="83" fillId="20" borderId="1" xfId="0" applyNumberFormat="1" applyFont="1" applyFill="1" applyBorder="1" applyAlignment="1">
      <alignment horizontal="center" vertical="center"/>
    </xf>
    <xf numFmtId="179" fontId="83" fillId="20" borderId="1" xfId="0" applyNumberFormat="1" applyFont="1" applyFill="1" applyBorder="1" applyAlignment="1">
      <alignment horizontal="center" vertical="center" wrapText="1"/>
    </xf>
    <xf numFmtId="179" fontId="93" fillId="12" borderId="1" xfId="0" applyNumberFormat="1" applyFont="1" applyFill="1" applyBorder="1" applyAlignment="1">
      <alignment horizontal="left" vertical="center" wrapText="1"/>
    </xf>
    <xf numFmtId="179" fontId="83" fillId="12" borderId="1" xfId="0" applyNumberFormat="1" applyFont="1" applyFill="1" applyBorder="1" applyAlignment="1">
      <alignment horizontal="right" vertical="center" wrapText="1"/>
    </xf>
    <xf numFmtId="179" fontId="83" fillId="12" borderId="1" xfId="0" applyNumberFormat="1" applyFont="1" applyFill="1" applyBorder="1" applyAlignment="1">
      <alignment horizontal="center" vertical="center" wrapText="1"/>
    </xf>
    <xf numFmtId="0" fontId="83" fillId="29" borderId="1" xfId="0" applyFont="1" applyFill="1" applyBorder="1" applyAlignment="1"/>
    <xf numFmtId="179" fontId="83" fillId="29" borderId="1" xfId="0" applyNumberFormat="1" applyFont="1" applyFill="1" applyBorder="1" applyAlignment="1">
      <alignment horizontal="right" vertical="center" wrapText="1"/>
    </xf>
    <xf numFmtId="174" fontId="83" fillId="29" borderId="1" xfId="0" applyNumberFormat="1" applyFont="1" applyFill="1" applyBorder="1" applyAlignment="1">
      <alignment horizontal="center" vertical="center" wrapText="1"/>
    </xf>
    <xf numFmtId="179" fontId="83" fillId="29" borderId="1" xfId="0" applyNumberFormat="1" applyFont="1" applyFill="1" applyBorder="1" applyAlignment="1">
      <alignment horizontal="center" vertical="center" wrapText="1"/>
    </xf>
    <xf numFmtId="0" fontId="55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96" fillId="20" borderId="63" xfId="0" applyFont="1" applyFill="1" applyBorder="1" applyAlignment="1">
      <alignment vertical="center"/>
    </xf>
    <xf numFmtId="0" fontId="65" fillId="0" borderId="28" xfId="0" applyFont="1" applyBorder="1" applyAlignment="1">
      <alignment horizontal="center" vertical="center" wrapText="1"/>
    </xf>
    <xf numFmtId="0" fontId="67" fillId="0" borderId="0" xfId="0" applyFont="1" applyBorder="1" applyAlignment="1">
      <alignment wrapText="1"/>
    </xf>
    <xf numFmtId="0" fontId="68" fillId="0" borderId="0" xfId="0" applyFont="1" applyBorder="1" applyAlignment="1">
      <alignment horizontal="right" vertical="center" wrapText="1"/>
    </xf>
    <xf numFmtId="0" fontId="67" fillId="0" borderId="0" xfId="0" applyFont="1" applyBorder="1" applyAlignment="1">
      <alignment horizontal="right" vertical="center" wrapText="1"/>
    </xf>
    <xf numFmtId="0" fontId="67" fillId="0" borderId="0" xfId="0" applyFont="1" applyFill="1" applyBorder="1" applyAlignment="1">
      <alignment horizontal="right" vertical="center" wrapText="1"/>
    </xf>
    <xf numFmtId="0" fontId="71" fillId="0" borderId="3" xfId="0" applyFont="1" applyFill="1" applyBorder="1" applyAlignment="1">
      <alignment horizontal="center" vertical="center" wrapText="1"/>
    </xf>
    <xf numFmtId="0" fontId="65" fillId="7" borderId="28" xfId="0" applyFont="1" applyFill="1" applyBorder="1" applyAlignment="1">
      <alignment horizontal="center" vertical="center" wrapText="1"/>
    </xf>
    <xf numFmtId="0" fontId="68" fillId="30" borderId="13" xfId="0" applyFont="1" applyFill="1" applyBorder="1" applyAlignment="1">
      <alignment horizontal="right" vertical="center" wrapText="1"/>
    </xf>
    <xf numFmtId="174" fontId="75" fillId="30" borderId="13" xfId="0" applyNumberFormat="1" applyFont="1" applyFill="1" applyBorder="1" applyAlignment="1">
      <alignment horizontal="right" vertical="center" wrapText="1"/>
    </xf>
    <xf numFmtId="174" fontId="68" fillId="30" borderId="13" xfId="0" applyNumberFormat="1" applyFont="1" applyFill="1" applyBorder="1" applyAlignment="1">
      <alignment horizontal="right" vertical="center"/>
    </xf>
    <xf numFmtId="179" fontId="76" fillId="30" borderId="13" xfId="0" applyNumberFormat="1" applyFont="1" applyFill="1" applyBorder="1" applyAlignment="1">
      <alignment horizontal="center" vertical="center" wrapText="1"/>
    </xf>
    <xf numFmtId="179" fontId="76" fillId="30" borderId="67" xfId="0" applyNumberFormat="1" applyFont="1" applyFill="1" applyBorder="1" applyAlignment="1">
      <alignment horizontal="center" vertical="center" wrapText="1"/>
    </xf>
    <xf numFmtId="174" fontId="76" fillId="10" borderId="68" xfId="0" applyNumberFormat="1" applyFont="1" applyFill="1" applyBorder="1" applyAlignment="1">
      <alignment horizontal="right" vertical="center"/>
    </xf>
    <xf numFmtId="174" fontId="76" fillId="31" borderId="25" xfId="0" applyNumberFormat="1" applyFont="1" applyFill="1" applyBorder="1" applyAlignment="1">
      <alignment wrapText="1"/>
    </xf>
    <xf numFmtId="0" fontId="67" fillId="7" borderId="0" xfId="0" applyFont="1" applyFill="1" applyBorder="1" applyAlignment="1">
      <alignment wrapText="1"/>
    </xf>
    <xf numFmtId="179" fontId="68" fillId="20" borderId="5" xfId="0" applyNumberFormat="1" applyFont="1" applyFill="1" applyBorder="1" applyAlignment="1">
      <alignment horizontal="right" vertical="center" wrapText="1"/>
    </xf>
    <xf numFmtId="179" fontId="67" fillId="20" borderId="5" xfId="0" applyNumberFormat="1" applyFont="1" applyFill="1" applyBorder="1" applyAlignment="1">
      <alignment horizontal="center" vertical="center" wrapText="1"/>
    </xf>
    <xf numFmtId="179" fontId="67" fillId="20" borderId="5" xfId="0" applyNumberFormat="1" applyFont="1" applyFill="1" applyBorder="1" applyAlignment="1">
      <alignment horizontal="right" vertical="center" wrapText="1"/>
    </xf>
    <xf numFmtId="174" fontId="67" fillId="20" borderId="5" xfId="0" applyNumberFormat="1" applyFont="1" applyFill="1" applyBorder="1" applyAlignment="1">
      <alignment horizontal="center" vertical="center"/>
    </xf>
    <xf numFmtId="179" fontId="67" fillId="20" borderId="5" xfId="0" applyNumberFormat="1" applyFont="1" applyFill="1" applyBorder="1" applyAlignment="1">
      <alignment horizontal="right" vertical="center"/>
    </xf>
    <xf numFmtId="179" fontId="67" fillId="20" borderId="37" xfId="0" applyNumberFormat="1" applyFont="1" applyFill="1" applyBorder="1" applyAlignment="1">
      <alignment horizontal="right" vertical="center"/>
    </xf>
    <xf numFmtId="174" fontId="76" fillId="0" borderId="69" xfId="0" applyNumberFormat="1" applyFont="1" applyFill="1" applyBorder="1" applyAlignment="1">
      <alignment horizontal="right" vertical="center"/>
    </xf>
    <xf numFmtId="0" fontId="76" fillId="0" borderId="0" xfId="0" applyFont="1" applyBorder="1" applyAlignment="1">
      <alignment wrapText="1"/>
    </xf>
    <xf numFmtId="179" fontId="67" fillId="20" borderId="1" xfId="0" applyNumberFormat="1" applyFont="1" applyFill="1" applyBorder="1" applyAlignment="1">
      <alignment horizontal="right" vertical="center" wrapText="1"/>
    </xf>
    <xf numFmtId="179" fontId="67" fillId="20" borderId="2" xfId="0" applyNumberFormat="1" applyFont="1" applyFill="1" applyBorder="1" applyAlignment="1">
      <alignment horizontal="right" vertical="center"/>
    </xf>
    <xf numFmtId="174" fontId="76" fillId="0" borderId="66" xfId="0" applyNumberFormat="1" applyFont="1" applyFill="1" applyBorder="1" applyAlignment="1">
      <alignment horizontal="right" vertical="center"/>
    </xf>
    <xf numFmtId="179" fontId="68" fillId="20" borderId="3" xfId="0" applyNumberFormat="1" applyFont="1" applyFill="1" applyBorder="1" applyAlignment="1">
      <alignment horizontal="right" vertical="center" wrapText="1"/>
    </xf>
    <xf numFmtId="179" fontId="67" fillId="20" borderId="3" xfId="0" applyNumberFormat="1" applyFont="1" applyFill="1" applyBorder="1" applyAlignment="1">
      <alignment horizontal="center" vertical="center" wrapText="1"/>
    </xf>
    <xf numFmtId="179" fontId="67" fillId="20" borderId="3" xfId="0" applyNumberFormat="1" applyFont="1" applyFill="1" applyBorder="1" applyAlignment="1">
      <alignment horizontal="right" vertical="center"/>
    </xf>
    <xf numFmtId="179" fontId="67" fillId="20" borderId="38" xfId="0" applyNumberFormat="1" applyFont="1" applyFill="1" applyBorder="1" applyAlignment="1">
      <alignment horizontal="right" vertical="center"/>
    </xf>
    <xf numFmtId="179" fontId="68" fillId="8" borderId="33" xfId="0" applyNumberFormat="1" applyFont="1" applyFill="1" applyBorder="1" applyAlignment="1">
      <alignment horizontal="right" vertical="center" wrapText="1"/>
    </xf>
    <xf numFmtId="0" fontId="67" fillId="8" borderId="33" xfId="0" applyFont="1" applyFill="1" applyBorder="1" applyAlignment="1">
      <alignment horizontal="right" vertical="center" wrapText="1"/>
    </xf>
    <xf numFmtId="0" fontId="67" fillId="8" borderId="21" xfId="0" applyFont="1" applyFill="1" applyBorder="1" applyAlignment="1">
      <alignment horizontal="right" vertical="center" wrapText="1"/>
    </xf>
    <xf numFmtId="174" fontId="68" fillId="8" borderId="33" xfId="0" applyNumberFormat="1" applyFont="1" applyFill="1" applyBorder="1" applyAlignment="1">
      <alignment horizontal="right" vertical="center" wrapText="1"/>
    </xf>
    <xf numFmtId="174" fontId="66" fillId="8" borderId="33" xfId="0" applyNumberFormat="1" applyFont="1" applyFill="1" applyBorder="1" applyAlignment="1">
      <alignment horizontal="right" vertical="center" wrapText="1"/>
    </xf>
    <xf numFmtId="174" fontId="66" fillId="8" borderId="34" xfId="0" applyNumberFormat="1" applyFont="1" applyFill="1" applyBorder="1" applyAlignment="1">
      <alignment horizontal="right" vertical="center" wrapText="1"/>
    </xf>
    <xf numFmtId="174" fontId="97" fillId="0" borderId="59" xfId="0" applyNumberFormat="1" applyFont="1" applyFill="1" applyBorder="1" applyAlignment="1">
      <alignment horizontal="right" vertical="center"/>
    </xf>
    <xf numFmtId="179" fontId="68" fillId="4" borderId="13" xfId="0" applyNumberFormat="1" applyFont="1" applyFill="1" applyBorder="1" applyAlignment="1">
      <alignment horizontal="right" vertical="center" wrapText="1"/>
    </xf>
    <xf numFmtId="174" fontId="68" fillId="4" borderId="13" xfId="0" applyNumberFormat="1" applyFont="1" applyFill="1" applyBorder="1" applyAlignment="1">
      <alignment horizontal="right" vertical="center" wrapText="1"/>
    </xf>
    <xf numFmtId="0" fontId="67" fillId="4" borderId="13" xfId="0" applyFont="1" applyFill="1" applyBorder="1" applyAlignment="1">
      <alignment horizontal="right" vertical="center" wrapText="1"/>
    </xf>
    <xf numFmtId="179" fontId="77" fillId="4" borderId="13" xfId="0" applyNumberFormat="1" applyFont="1" applyFill="1" applyBorder="1" applyAlignment="1">
      <alignment horizontal="center" vertical="center" wrapText="1"/>
    </xf>
    <xf numFmtId="179" fontId="77" fillId="4" borderId="67" xfId="0" applyNumberFormat="1" applyFont="1" applyFill="1" applyBorder="1" applyAlignment="1">
      <alignment horizontal="center" vertical="center" wrapText="1"/>
    </xf>
    <xf numFmtId="179" fontId="68" fillId="5" borderId="21" xfId="0" applyNumberFormat="1" applyFont="1" applyFill="1" applyBorder="1" applyAlignment="1">
      <alignment horizontal="right" vertical="center" wrapText="1"/>
    </xf>
    <xf numFmtId="179" fontId="67" fillId="5" borderId="21" xfId="0" applyNumberFormat="1" applyFont="1" applyFill="1" applyBorder="1" applyAlignment="1">
      <alignment horizontal="right" vertical="center" wrapText="1"/>
    </xf>
    <xf numFmtId="179" fontId="67" fillId="5" borderId="21" xfId="0" applyNumberFormat="1" applyFont="1" applyFill="1" applyBorder="1" applyAlignment="1">
      <alignment horizontal="center" vertical="center" wrapText="1"/>
    </xf>
    <xf numFmtId="174" fontId="67" fillId="5" borderId="21" xfId="0" applyNumberFormat="1" applyFont="1" applyFill="1" applyBorder="1" applyAlignment="1">
      <alignment horizontal="center" vertical="center"/>
    </xf>
    <xf numFmtId="174" fontId="67" fillId="5" borderId="21" xfId="0" applyNumberFormat="1" applyFont="1" applyFill="1" applyBorder="1" applyAlignment="1">
      <alignment horizontal="right" vertical="center"/>
    </xf>
    <xf numFmtId="179" fontId="77" fillId="7" borderId="21" xfId="0" applyNumberFormat="1" applyFont="1" applyFill="1" applyBorder="1" applyAlignment="1">
      <alignment horizontal="center" vertical="center" wrapText="1"/>
    </xf>
    <xf numFmtId="179" fontId="77" fillId="7" borderId="58" xfId="0" applyNumberFormat="1" applyFont="1" applyFill="1" applyBorder="1" applyAlignment="1">
      <alignment horizontal="center" vertical="center" wrapText="1"/>
    </xf>
    <xf numFmtId="0" fontId="49" fillId="0" borderId="28" xfId="0" applyFont="1" applyBorder="1" applyAlignment="1">
      <alignment horizontal="center" vertical="center" wrapText="1"/>
    </xf>
    <xf numFmtId="179" fontId="78" fillId="5" borderId="5" xfId="0" applyNumberFormat="1" applyFont="1" applyFill="1" applyBorder="1" applyAlignment="1">
      <alignment horizontal="right" vertical="center" wrapText="1"/>
    </xf>
    <xf numFmtId="179" fontId="79" fillId="5" borderId="5" xfId="0" applyNumberFormat="1" applyFont="1" applyFill="1" applyBorder="1" applyAlignment="1">
      <alignment horizontal="center" vertical="center" wrapText="1"/>
    </xf>
    <xf numFmtId="174" fontId="67" fillId="5" borderId="5" xfId="0" applyNumberFormat="1" applyFont="1" applyFill="1" applyBorder="1" applyAlignment="1">
      <alignment horizontal="center" vertical="center"/>
    </xf>
    <xf numFmtId="179" fontId="80" fillId="0" borderId="5" xfId="0" applyNumberFormat="1" applyFont="1" applyFill="1" applyBorder="1" applyAlignment="1">
      <alignment horizontal="center" vertical="center" wrapText="1"/>
    </xf>
    <xf numFmtId="179" fontId="80" fillId="7" borderId="37" xfId="0" applyNumberFormat="1" applyFont="1" applyFill="1" applyBorder="1" applyAlignment="1">
      <alignment horizontal="center" vertical="center" wrapText="1"/>
    </xf>
    <xf numFmtId="0" fontId="81" fillId="0" borderId="0" xfId="0" applyFont="1" applyBorder="1" applyAlignment="1">
      <alignment wrapText="1"/>
    </xf>
    <xf numFmtId="0" fontId="79" fillId="0" borderId="0" xfId="0" applyFont="1" applyBorder="1" applyAlignment="1">
      <alignment wrapText="1"/>
    </xf>
    <xf numFmtId="179" fontId="80" fillId="7" borderId="2" xfId="0" applyNumberFormat="1" applyFont="1" applyFill="1" applyBorder="1" applyAlignment="1">
      <alignment horizontal="center" vertical="center" wrapText="1"/>
    </xf>
    <xf numFmtId="179" fontId="80" fillId="4" borderId="2" xfId="0" applyNumberFormat="1" applyFont="1" applyFill="1" applyBorder="1" applyAlignment="1">
      <alignment horizontal="center" vertical="center" wrapText="1"/>
    </xf>
    <xf numFmtId="174" fontId="76" fillId="10" borderId="66" xfId="0" applyNumberFormat="1" applyFont="1" applyFill="1" applyBorder="1" applyAlignment="1">
      <alignment horizontal="right" vertical="center"/>
    </xf>
    <xf numFmtId="174" fontId="81" fillId="31" borderId="0" xfId="0" applyNumberFormat="1" applyFont="1" applyFill="1" applyBorder="1" applyAlignment="1">
      <alignment wrapText="1"/>
    </xf>
    <xf numFmtId="179" fontId="83" fillId="5" borderId="3" xfId="0" applyNumberFormat="1" applyFont="1" applyFill="1" applyBorder="1" applyAlignment="1">
      <alignment horizontal="right" vertical="center" wrapText="1"/>
    </xf>
    <xf numFmtId="174" fontId="67" fillId="5" borderId="3" xfId="0" applyNumberFormat="1" applyFont="1" applyFill="1" applyBorder="1" applyAlignment="1">
      <alignment horizontal="center" vertical="center"/>
    </xf>
    <xf numFmtId="179" fontId="67" fillId="5" borderId="3" xfId="0" applyNumberFormat="1" applyFont="1" applyFill="1" applyBorder="1" applyAlignment="1">
      <alignment horizontal="center" vertical="center" wrapText="1"/>
    </xf>
    <xf numFmtId="174" fontId="67" fillId="5" borderId="3" xfId="0" applyNumberFormat="1" applyFont="1" applyFill="1" applyBorder="1" applyAlignment="1">
      <alignment horizontal="right" vertical="center"/>
    </xf>
    <xf numFmtId="179" fontId="67" fillId="5" borderId="3" xfId="0" applyNumberFormat="1" applyFont="1" applyFill="1" applyBorder="1" applyAlignment="1">
      <alignment horizontal="right" vertical="center" wrapText="1"/>
    </xf>
    <xf numFmtId="179" fontId="80" fillId="7" borderId="3" xfId="0" applyNumberFormat="1" applyFont="1" applyFill="1" applyBorder="1" applyAlignment="1">
      <alignment horizontal="center" vertical="center" wrapText="1"/>
    </xf>
    <xf numFmtId="179" fontId="80" fillId="7" borderId="38" xfId="0" applyNumberFormat="1" applyFont="1" applyFill="1" applyBorder="1" applyAlignment="1">
      <alignment horizontal="center" vertical="center" wrapText="1"/>
    </xf>
    <xf numFmtId="179" fontId="78" fillId="4" borderId="13" xfId="0" applyNumberFormat="1" applyFont="1" applyFill="1" applyBorder="1" applyAlignment="1">
      <alignment horizontal="right" vertical="center" wrapText="1"/>
    </xf>
    <xf numFmtId="0" fontId="79" fillId="4" borderId="13" xfId="0" applyFont="1" applyFill="1" applyBorder="1" applyAlignment="1">
      <alignment horizontal="center" vertical="center" wrapText="1"/>
    </xf>
    <xf numFmtId="174" fontId="78" fillId="4" borderId="13" xfId="0" applyNumberFormat="1" applyFont="1" applyFill="1" applyBorder="1" applyAlignment="1">
      <alignment horizontal="right" vertical="center" wrapText="1"/>
    </xf>
    <xf numFmtId="179" fontId="80" fillId="4" borderId="13" xfId="0" applyNumberFormat="1" applyFont="1" applyFill="1" applyBorder="1" applyAlignment="1">
      <alignment horizontal="center" vertical="center" wrapText="1"/>
    </xf>
    <xf numFmtId="179" fontId="80" fillId="4" borderId="67" xfId="0" applyNumberFormat="1" applyFont="1" applyFill="1" applyBorder="1" applyAlignment="1">
      <alignment horizontal="center" vertical="center" wrapText="1"/>
    </xf>
    <xf numFmtId="174" fontId="81" fillId="31" borderId="25" xfId="0" applyNumberFormat="1" applyFont="1" applyFill="1" applyBorder="1" applyAlignment="1">
      <alignment wrapText="1"/>
    </xf>
    <xf numFmtId="179" fontId="67" fillId="5" borderId="5" xfId="0" applyNumberFormat="1" applyFont="1" applyFill="1" applyBorder="1" applyAlignment="1">
      <alignment horizontal="center" vertical="center" wrapText="1"/>
    </xf>
    <xf numFmtId="179" fontId="79" fillId="5" borderId="0" xfId="0" applyNumberFormat="1" applyFont="1" applyFill="1" applyBorder="1" applyAlignment="1">
      <alignment horizontal="center" vertical="center" wrapText="1"/>
    </xf>
    <xf numFmtId="179" fontId="67" fillId="5" borderId="5" xfId="0" applyNumberFormat="1" applyFont="1" applyFill="1" applyBorder="1" applyAlignment="1">
      <alignment horizontal="right" vertical="center" wrapText="1"/>
    </xf>
    <xf numFmtId="174" fontId="67" fillId="5" borderId="5" xfId="0" applyNumberFormat="1" applyFont="1" applyFill="1" applyBorder="1" applyAlignment="1">
      <alignment horizontal="right" vertical="center"/>
    </xf>
    <xf numFmtId="179" fontId="80" fillId="7" borderId="5" xfId="0" applyNumberFormat="1" applyFont="1" applyFill="1" applyBorder="1" applyAlignment="1">
      <alignment horizontal="center" vertical="center" wrapText="1"/>
    </xf>
    <xf numFmtId="179" fontId="77" fillId="4" borderId="2" xfId="0" applyNumberFormat="1" applyFont="1" applyFill="1" applyBorder="1" applyAlignment="1">
      <alignment horizontal="center" vertical="center" wrapText="1"/>
    </xf>
    <xf numFmtId="174" fontId="76" fillId="7" borderId="0" xfId="0" applyNumberFormat="1" applyFont="1" applyFill="1" applyBorder="1" applyAlignment="1">
      <alignment wrapText="1"/>
    </xf>
    <xf numFmtId="179" fontId="77" fillId="7" borderId="2" xfId="0" applyNumberFormat="1" applyFont="1" applyFill="1" applyBorder="1" applyAlignment="1">
      <alignment horizontal="right" vertical="center" wrapText="1"/>
    </xf>
    <xf numFmtId="0" fontId="76" fillId="7" borderId="0" xfId="0" applyFont="1" applyFill="1" applyBorder="1" applyAlignment="1">
      <alignment wrapText="1"/>
    </xf>
    <xf numFmtId="0" fontId="66" fillId="7" borderId="28" xfId="0" applyFont="1" applyFill="1" applyBorder="1" applyAlignment="1">
      <alignment horizontal="center" vertical="center" wrapText="1"/>
    </xf>
    <xf numFmtId="0" fontId="66" fillId="7" borderId="0" xfId="0" applyFont="1" applyFill="1" applyBorder="1" applyAlignment="1">
      <alignment wrapText="1"/>
    </xf>
    <xf numFmtId="0" fontId="67" fillId="7" borderId="28" xfId="0" applyFont="1" applyFill="1" applyBorder="1" applyAlignment="1">
      <alignment horizontal="center" vertical="center" wrapText="1"/>
    </xf>
    <xf numFmtId="179" fontId="77" fillId="5" borderId="1" xfId="0" applyNumberFormat="1" applyFont="1" applyFill="1" applyBorder="1" applyAlignment="1">
      <alignment horizontal="right" vertical="center" wrapText="1"/>
    </xf>
    <xf numFmtId="179" fontId="77" fillId="5" borderId="2" xfId="0" applyNumberFormat="1" applyFont="1" applyFill="1" applyBorder="1" applyAlignment="1">
      <alignment horizontal="right" vertical="center" wrapText="1"/>
    </xf>
    <xf numFmtId="0" fontId="67" fillId="0" borderId="28" xfId="0" applyFont="1" applyBorder="1" applyAlignment="1">
      <alignment horizontal="center" vertical="center" wrapText="1"/>
    </xf>
    <xf numFmtId="174" fontId="79" fillId="5" borderId="3" xfId="0" applyNumberFormat="1" applyFont="1" applyFill="1" applyBorder="1" applyAlignment="1">
      <alignment horizontal="center" vertical="center" wrapText="1"/>
    </xf>
    <xf numFmtId="179" fontId="79" fillId="5" borderId="3" xfId="0" applyNumberFormat="1" applyFont="1" applyFill="1" applyBorder="1" applyAlignment="1">
      <alignment horizontal="center" vertical="center" wrapText="1"/>
    </xf>
    <xf numFmtId="179" fontId="77" fillId="7" borderId="3" xfId="0" applyNumberFormat="1" applyFont="1" applyFill="1" applyBorder="1" applyAlignment="1">
      <alignment horizontal="right" vertical="center" wrapText="1"/>
    </xf>
    <xf numFmtId="179" fontId="77" fillId="7" borderId="38" xfId="0" applyNumberFormat="1" applyFont="1" applyFill="1" applyBorder="1" applyAlignment="1">
      <alignment horizontal="right" vertical="center" wrapText="1"/>
    </xf>
    <xf numFmtId="174" fontId="67" fillId="4" borderId="13" xfId="0" applyNumberFormat="1" applyFont="1" applyFill="1" applyBorder="1" applyAlignment="1">
      <alignment horizontal="center" vertical="center" wrapText="1"/>
    </xf>
    <xf numFmtId="0" fontId="67" fillId="4" borderId="13" xfId="0" applyFont="1" applyFill="1" applyBorder="1" applyAlignment="1">
      <alignment horizontal="center" vertical="center" wrapText="1"/>
    </xf>
    <xf numFmtId="174" fontId="67" fillId="4" borderId="13" xfId="0" applyNumberFormat="1" applyFont="1" applyFill="1" applyBorder="1" applyAlignment="1">
      <alignment horizontal="right" vertical="center" wrapText="1"/>
    </xf>
    <xf numFmtId="179" fontId="68" fillId="5" borderId="5" xfId="0" applyNumberFormat="1" applyFont="1" applyFill="1" applyBorder="1" applyAlignment="1">
      <alignment horizontal="right" vertical="center" wrapText="1"/>
    </xf>
    <xf numFmtId="0" fontId="67" fillId="5" borderId="5" xfId="0" applyFont="1" applyFill="1" applyBorder="1" applyAlignment="1">
      <alignment horizontal="right" vertical="center" wrapText="1"/>
    </xf>
    <xf numFmtId="179" fontId="77" fillId="7" borderId="5" xfId="0" applyNumberFormat="1" applyFont="1" applyFill="1" applyBorder="1" applyAlignment="1">
      <alignment horizontal="right" vertical="center" wrapText="1"/>
    </xf>
    <xf numFmtId="179" fontId="77" fillId="7" borderId="37" xfId="0" applyNumberFormat="1" applyFont="1" applyFill="1" applyBorder="1" applyAlignment="1">
      <alignment horizontal="right" vertical="center" wrapText="1"/>
    </xf>
    <xf numFmtId="179" fontId="68" fillId="16" borderId="3" xfId="0" applyNumberFormat="1" applyFont="1" applyFill="1" applyBorder="1" applyAlignment="1">
      <alignment horizontal="right" vertical="center" wrapText="1"/>
    </xf>
    <xf numFmtId="0" fontId="67" fillId="16" borderId="3" xfId="0" applyFont="1" applyFill="1" applyBorder="1" applyAlignment="1">
      <alignment horizontal="center" vertical="center" wrapText="1"/>
    </xf>
    <xf numFmtId="174" fontId="76" fillId="16" borderId="33" xfId="0" applyNumberFormat="1" applyFont="1" applyFill="1" applyBorder="1" applyAlignment="1">
      <alignment horizontal="center" vertical="center" wrapText="1"/>
    </xf>
    <xf numFmtId="179" fontId="66" fillId="16" borderId="38" xfId="0" applyNumberFormat="1" applyFont="1" applyFill="1" applyBorder="1" applyAlignment="1">
      <alignment horizontal="right" vertical="center" wrapText="1"/>
    </xf>
    <xf numFmtId="174" fontId="97" fillId="0" borderId="66" xfId="0" applyNumberFormat="1" applyFont="1" applyFill="1" applyBorder="1" applyAlignment="1">
      <alignment horizontal="right" vertical="center"/>
    </xf>
    <xf numFmtId="179" fontId="68" fillId="17" borderId="13" xfId="0" applyNumberFormat="1" applyFont="1" applyFill="1" applyBorder="1" applyAlignment="1">
      <alignment horizontal="right" vertical="center" wrapText="1"/>
    </xf>
    <xf numFmtId="0" fontId="67" fillId="17" borderId="13" xfId="0" applyFont="1" applyFill="1" applyBorder="1" applyAlignment="1">
      <alignment horizontal="center" vertical="center" wrapText="1"/>
    </xf>
    <xf numFmtId="179" fontId="77" fillId="17" borderId="11" xfId="0" applyNumberFormat="1" applyFont="1" applyFill="1" applyBorder="1" applyAlignment="1">
      <alignment horizontal="center" vertical="center" wrapText="1"/>
    </xf>
    <xf numFmtId="179" fontId="77" fillId="17" borderId="67" xfId="0" applyNumberFormat="1" applyFont="1" applyFill="1" applyBorder="1" applyAlignment="1">
      <alignment horizontal="center" vertical="center" wrapText="1"/>
    </xf>
    <xf numFmtId="179" fontId="67" fillId="0" borderId="21" xfId="0" applyNumberFormat="1" applyFont="1" applyBorder="1" applyAlignment="1">
      <alignment horizontal="right" vertical="center" wrapText="1"/>
    </xf>
    <xf numFmtId="179" fontId="67" fillId="0" borderId="58" xfId="0" applyNumberFormat="1" applyFont="1" applyBorder="1" applyAlignment="1">
      <alignment horizontal="right" vertical="center" wrapText="1"/>
    </xf>
    <xf numFmtId="179" fontId="67" fillId="17" borderId="13" xfId="0" applyNumberFormat="1" applyFont="1" applyFill="1" applyBorder="1" applyAlignment="1">
      <alignment horizontal="center" vertical="center" wrapText="1"/>
    </xf>
    <xf numFmtId="179" fontId="67" fillId="7" borderId="5" xfId="0" applyNumberFormat="1" applyFont="1" applyFill="1" applyBorder="1" applyAlignment="1">
      <alignment horizontal="right" vertical="center" wrapText="1"/>
    </xf>
    <xf numFmtId="179" fontId="67" fillId="7" borderId="37" xfId="0" applyNumberFormat="1" applyFont="1" applyFill="1" applyBorder="1" applyAlignment="1">
      <alignment horizontal="right" vertical="center" wrapText="1"/>
    </xf>
    <xf numFmtId="179" fontId="67" fillId="7" borderId="2" xfId="0" applyNumberFormat="1" applyFont="1" applyFill="1" applyBorder="1" applyAlignment="1">
      <alignment horizontal="right" vertical="center" wrapText="1"/>
    </xf>
    <xf numFmtId="179" fontId="77" fillId="17" borderId="14" xfId="0" applyNumberFormat="1" applyFont="1" applyFill="1" applyBorder="1" applyAlignment="1">
      <alignment horizontal="center" vertical="center" wrapText="1"/>
    </xf>
    <xf numFmtId="179" fontId="77" fillId="17" borderId="2" xfId="0" applyNumberFormat="1" applyFont="1" applyFill="1" applyBorder="1" applyAlignment="1">
      <alignment horizontal="center" vertical="center" wrapText="1"/>
    </xf>
    <xf numFmtId="174" fontId="76" fillId="31" borderId="0" xfId="0" applyNumberFormat="1" applyFont="1" applyFill="1" applyBorder="1" applyAlignment="1">
      <alignment wrapText="1"/>
    </xf>
    <xf numFmtId="0" fontId="76" fillId="32" borderId="0" xfId="0" applyFont="1" applyFill="1" applyBorder="1" applyAlignment="1">
      <alignment wrapText="1"/>
    </xf>
    <xf numFmtId="179" fontId="98" fillId="17" borderId="14" xfId="0" applyNumberFormat="1" applyFont="1" applyFill="1" applyBorder="1" applyAlignment="1">
      <alignment horizontal="center" vertical="center" wrapText="1"/>
    </xf>
    <xf numFmtId="179" fontId="98" fillId="17" borderId="2" xfId="0" applyNumberFormat="1" applyFont="1" applyFill="1" applyBorder="1" applyAlignment="1">
      <alignment horizontal="center" vertical="center" wrapText="1"/>
    </xf>
    <xf numFmtId="174" fontId="86" fillId="10" borderId="66" xfId="0" applyNumberFormat="1" applyFont="1" applyFill="1" applyBorder="1" applyAlignment="1">
      <alignment horizontal="right" vertical="center"/>
    </xf>
    <xf numFmtId="174" fontId="86" fillId="31" borderId="0" xfId="0" applyNumberFormat="1" applyFont="1" applyFill="1" applyBorder="1" applyAlignment="1">
      <alignment wrapText="1"/>
    </xf>
    <xf numFmtId="179" fontId="83" fillId="18" borderId="3" xfId="0" applyNumberFormat="1" applyFont="1" applyFill="1" applyBorder="1" applyAlignment="1">
      <alignment horizontal="right" vertical="center" wrapText="1"/>
    </xf>
    <xf numFmtId="179" fontId="67" fillId="18" borderId="3" xfId="0" applyNumberFormat="1" applyFont="1" applyFill="1" applyBorder="1" applyAlignment="1">
      <alignment horizontal="center" vertical="center" wrapText="1"/>
    </xf>
    <xf numFmtId="179" fontId="67" fillId="18" borderId="3" xfId="0" applyNumberFormat="1" applyFont="1" applyFill="1" applyBorder="1" applyAlignment="1">
      <alignment horizontal="right" vertical="center" wrapText="1"/>
    </xf>
    <xf numFmtId="179" fontId="67" fillId="7" borderId="3" xfId="0" applyNumberFormat="1" applyFont="1" applyFill="1" applyBorder="1" applyAlignment="1">
      <alignment horizontal="right" vertical="center" wrapText="1"/>
    </xf>
    <xf numFmtId="179" fontId="67" fillId="7" borderId="38" xfId="0" applyNumberFormat="1" applyFont="1" applyFill="1" applyBorder="1" applyAlignment="1">
      <alignment horizontal="right" vertical="center" wrapText="1"/>
    </xf>
    <xf numFmtId="179" fontId="87" fillId="17" borderId="13" xfId="0" applyNumberFormat="1" applyFont="1" applyFill="1" applyBorder="1" applyAlignment="1">
      <alignment horizontal="center" vertical="center" wrapText="1"/>
    </xf>
    <xf numFmtId="179" fontId="74" fillId="17" borderId="13" xfId="0" applyNumberFormat="1" applyFont="1" applyFill="1" applyBorder="1" applyAlignment="1">
      <alignment horizontal="right" vertical="center" wrapText="1"/>
    </xf>
    <xf numFmtId="179" fontId="99" fillId="17" borderId="11" xfId="0" applyNumberFormat="1" applyFont="1" applyFill="1" applyBorder="1" applyAlignment="1">
      <alignment horizontal="center" vertical="center" wrapText="1"/>
    </xf>
    <xf numFmtId="179" fontId="99" fillId="17" borderId="67" xfId="0" applyNumberFormat="1" applyFont="1" applyFill="1" applyBorder="1" applyAlignment="1">
      <alignment horizontal="center" vertical="center" wrapText="1"/>
    </xf>
    <xf numFmtId="179" fontId="66" fillId="17" borderId="2" xfId="0" applyNumberFormat="1" applyFont="1" applyFill="1" applyBorder="1" applyAlignment="1">
      <alignment horizontal="center" vertical="center" wrapText="1"/>
    </xf>
    <xf numFmtId="179" fontId="83" fillId="17" borderId="1" xfId="0" applyNumberFormat="1" applyFont="1" applyFill="1" applyBorder="1" applyAlignment="1">
      <alignment horizontal="right" vertical="center" wrapText="1"/>
    </xf>
    <xf numFmtId="179" fontId="67" fillId="0" borderId="2" xfId="0" applyNumberFormat="1" applyFont="1" applyBorder="1" applyAlignment="1">
      <alignment horizontal="right" vertical="center" wrapText="1"/>
    </xf>
    <xf numFmtId="179" fontId="68" fillId="33" borderId="3" xfId="0" applyNumberFormat="1" applyFont="1" applyFill="1" applyBorder="1" applyAlignment="1">
      <alignment horizontal="right" vertical="center" wrapText="1"/>
    </xf>
    <xf numFmtId="179" fontId="67" fillId="33" borderId="3" xfId="0" applyNumberFormat="1" applyFont="1" applyFill="1" applyBorder="1" applyAlignment="1">
      <alignment horizontal="center" vertical="center" wrapText="1"/>
    </xf>
    <xf numFmtId="179" fontId="67" fillId="33" borderId="3" xfId="0" applyNumberFormat="1" applyFont="1" applyFill="1" applyBorder="1" applyAlignment="1">
      <alignment horizontal="right" vertical="center" wrapText="1"/>
    </xf>
    <xf numFmtId="179" fontId="77" fillId="33" borderId="3" xfId="0" applyNumberFormat="1" applyFont="1" applyFill="1" applyBorder="1" applyAlignment="1">
      <alignment horizontal="right" vertical="center" wrapText="1"/>
    </xf>
    <xf numFmtId="179" fontId="77" fillId="33" borderId="38" xfId="0" applyNumberFormat="1" applyFont="1" applyFill="1" applyBorder="1" applyAlignment="1">
      <alignment horizontal="right" vertical="center" wrapText="1"/>
    </xf>
    <xf numFmtId="179" fontId="68" fillId="34" borderId="13" xfId="0" applyNumberFormat="1" applyFont="1" applyFill="1" applyBorder="1" applyAlignment="1">
      <alignment horizontal="right" vertical="center" wrapText="1"/>
    </xf>
    <xf numFmtId="179" fontId="67" fillId="34" borderId="13" xfId="0" applyNumberFormat="1" applyFont="1" applyFill="1" applyBorder="1" applyAlignment="1">
      <alignment horizontal="center" vertical="center" wrapText="1"/>
    </xf>
    <xf numFmtId="179" fontId="77" fillId="34" borderId="11" xfId="0" applyNumberFormat="1" applyFont="1" applyFill="1" applyBorder="1" applyAlignment="1">
      <alignment horizontal="right" vertical="center" wrapText="1"/>
    </xf>
    <xf numFmtId="174" fontId="77" fillId="34" borderId="67" xfId="0" applyNumberFormat="1" applyFont="1" applyFill="1" applyBorder="1" applyAlignment="1">
      <alignment horizontal="right" vertical="center" wrapText="1"/>
    </xf>
    <xf numFmtId="179" fontId="68" fillId="35" borderId="5" xfId="0" applyNumberFormat="1" applyFont="1" applyFill="1" applyBorder="1" applyAlignment="1">
      <alignment horizontal="right" vertical="center" wrapText="1"/>
    </xf>
    <xf numFmtId="179" fontId="67" fillId="35" borderId="5" xfId="0" applyNumberFormat="1" applyFont="1" applyFill="1" applyBorder="1" applyAlignment="1">
      <alignment horizontal="center" vertical="center"/>
    </xf>
    <xf numFmtId="179" fontId="67" fillId="35" borderId="5" xfId="0" applyNumberFormat="1" applyFont="1" applyFill="1" applyBorder="1" applyAlignment="1">
      <alignment horizontal="right" vertical="center" wrapText="1"/>
    </xf>
    <xf numFmtId="179" fontId="67" fillId="35" borderId="5" xfId="0" applyNumberFormat="1" applyFont="1" applyFill="1" applyBorder="1" applyAlignment="1">
      <alignment horizontal="center" vertical="center" wrapText="1"/>
    </xf>
    <xf numFmtId="179" fontId="67" fillId="0" borderId="5" xfId="0" applyNumberFormat="1" applyFont="1" applyBorder="1" applyAlignment="1">
      <alignment horizontal="right" vertical="center" wrapText="1"/>
    </xf>
    <xf numFmtId="179" fontId="67" fillId="0" borderId="37" xfId="0" applyNumberFormat="1" applyFont="1" applyBorder="1" applyAlignment="1">
      <alignment horizontal="right" vertical="center" wrapText="1"/>
    </xf>
    <xf numFmtId="179" fontId="68" fillId="11" borderId="3" xfId="0" applyNumberFormat="1" applyFont="1" applyFill="1" applyBorder="1" applyAlignment="1">
      <alignment horizontal="right" vertical="center" wrapText="1"/>
    </xf>
    <xf numFmtId="0" fontId="67" fillId="11" borderId="3" xfId="0" applyFont="1" applyFill="1" applyBorder="1" applyAlignment="1">
      <alignment horizontal="center" vertical="center" wrapText="1"/>
    </xf>
    <xf numFmtId="179" fontId="77" fillId="11" borderId="3" xfId="0" applyNumberFormat="1" applyFont="1" applyFill="1" applyBorder="1" applyAlignment="1">
      <alignment wrapText="1"/>
    </xf>
    <xf numFmtId="179" fontId="77" fillId="11" borderId="38" xfId="0" applyNumberFormat="1" applyFont="1" applyFill="1" applyBorder="1" applyAlignment="1">
      <alignment wrapText="1"/>
    </xf>
    <xf numFmtId="179" fontId="68" fillId="24" borderId="13" xfId="0" applyNumberFormat="1" applyFont="1" applyFill="1" applyBorder="1" applyAlignment="1">
      <alignment horizontal="right" vertical="center" wrapText="1"/>
    </xf>
    <xf numFmtId="0" fontId="67" fillId="24" borderId="13" xfId="0" applyFont="1" applyFill="1" applyBorder="1" applyAlignment="1">
      <alignment horizontal="center" vertical="center" wrapText="1"/>
    </xf>
    <xf numFmtId="179" fontId="77" fillId="24" borderId="13" xfId="0" applyNumberFormat="1" applyFont="1" applyFill="1" applyBorder="1" applyAlignment="1">
      <alignment wrapText="1"/>
    </xf>
    <xf numFmtId="179" fontId="77" fillId="24" borderId="67" xfId="0" applyNumberFormat="1" applyFont="1" applyFill="1" applyBorder="1" applyAlignment="1">
      <alignment wrapText="1"/>
    </xf>
    <xf numFmtId="179" fontId="68" fillId="21" borderId="5" xfId="0" applyNumberFormat="1" applyFont="1" applyFill="1" applyBorder="1" applyAlignment="1">
      <alignment horizontal="right" vertical="center" wrapText="1"/>
    </xf>
    <xf numFmtId="179" fontId="67" fillId="21" borderId="5" xfId="0" applyNumberFormat="1" applyFont="1" applyFill="1" applyBorder="1" applyAlignment="1">
      <alignment horizontal="center" vertical="center" wrapText="1"/>
    </xf>
    <xf numFmtId="179" fontId="67" fillId="21" borderId="5" xfId="0" applyNumberFormat="1" applyFont="1" applyFill="1" applyBorder="1" applyAlignment="1">
      <alignment horizontal="right" vertical="center" wrapText="1"/>
    </xf>
    <xf numFmtId="179" fontId="77" fillId="0" borderId="5" xfId="0" applyNumberFormat="1" applyFont="1" applyBorder="1" applyAlignment="1">
      <alignment horizontal="right" wrapText="1"/>
    </xf>
    <xf numFmtId="179" fontId="77" fillId="0" borderId="37" xfId="0" applyNumberFormat="1" applyFont="1" applyBorder="1" applyAlignment="1">
      <alignment horizontal="right" wrapText="1"/>
    </xf>
    <xf numFmtId="179" fontId="68" fillId="21" borderId="3" xfId="0" applyNumberFormat="1" applyFont="1" applyFill="1" applyBorder="1" applyAlignment="1">
      <alignment horizontal="right" vertical="center" wrapText="1"/>
    </xf>
    <xf numFmtId="179" fontId="67" fillId="21" borderId="3" xfId="0" applyNumberFormat="1" applyFont="1" applyFill="1" applyBorder="1" applyAlignment="1">
      <alignment horizontal="center" vertical="center" wrapText="1"/>
    </xf>
    <xf numFmtId="179" fontId="67" fillId="21" borderId="3" xfId="0" applyNumberFormat="1" applyFont="1" applyFill="1" applyBorder="1" applyAlignment="1">
      <alignment horizontal="right" vertical="center" wrapText="1"/>
    </xf>
    <xf numFmtId="179" fontId="77" fillId="0" borderId="3" xfId="0" applyNumberFormat="1" applyFont="1" applyBorder="1" applyAlignment="1">
      <alignment horizontal="right" wrapText="1"/>
    </xf>
    <xf numFmtId="179" fontId="77" fillId="0" borderId="38" xfId="0" applyNumberFormat="1" applyFont="1" applyBorder="1" applyAlignment="1">
      <alignment horizontal="right" wrapText="1"/>
    </xf>
    <xf numFmtId="179" fontId="67" fillId="24" borderId="13" xfId="0" applyNumberFormat="1" applyFont="1" applyFill="1" applyBorder="1" applyAlignment="1">
      <alignment horizontal="center" vertical="center" wrapText="1"/>
    </xf>
    <xf numFmtId="179" fontId="77" fillId="24" borderId="13" xfId="0" applyNumberFormat="1" applyFont="1" applyFill="1" applyBorder="1" applyAlignment="1">
      <alignment horizontal="right" wrapText="1"/>
    </xf>
    <xf numFmtId="179" fontId="77" fillId="24" borderId="67" xfId="0" applyNumberFormat="1" applyFont="1" applyFill="1" applyBorder="1" applyAlignment="1">
      <alignment horizontal="right" wrapText="1"/>
    </xf>
    <xf numFmtId="0" fontId="66" fillId="7" borderId="66" xfId="0" applyFont="1" applyFill="1" applyBorder="1" applyAlignment="1">
      <alignment horizontal="right" vertical="center" wrapText="1"/>
    </xf>
    <xf numFmtId="174" fontId="77" fillId="24" borderId="13" xfId="0" applyNumberFormat="1" applyFont="1" applyFill="1" applyBorder="1" applyAlignment="1">
      <alignment horizontal="right" vertical="center" wrapText="1"/>
    </xf>
    <xf numFmtId="174" fontId="77" fillId="24" borderId="67" xfId="0" applyNumberFormat="1" applyFont="1" applyFill="1" applyBorder="1" applyAlignment="1">
      <alignment horizontal="right" vertical="center" wrapText="1"/>
    </xf>
    <xf numFmtId="174" fontId="76" fillId="10" borderId="68" xfId="0" applyNumberFormat="1" applyFont="1" applyFill="1" applyBorder="1" applyAlignment="1">
      <alignment horizontal="right" vertical="center" wrapText="1"/>
    </xf>
    <xf numFmtId="179" fontId="67" fillId="0" borderId="5" xfId="0" applyNumberFormat="1" applyFont="1" applyBorder="1" applyAlignment="1">
      <alignment horizontal="right" wrapText="1"/>
    </xf>
    <xf numFmtId="179" fontId="67" fillId="0" borderId="37" xfId="0" applyNumberFormat="1" applyFont="1" applyBorder="1" applyAlignment="1">
      <alignment horizontal="right" wrapText="1"/>
    </xf>
    <xf numFmtId="0" fontId="66" fillId="7" borderId="70" xfId="0" applyFont="1" applyFill="1" applyBorder="1" applyAlignment="1">
      <alignment horizontal="right" vertical="center" wrapText="1"/>
    </xf>
    <xf numFmtId="179" fontId="67" fillId="21" borderId="1" xfId="0" applyNumberFormat="1" applyFont="1" applyFill="1" applyBorder="1" applyAlignment="1">
      <alignment horizontal="center" vertical="center" wrapText="1"/>
    </xf>
    <xf numFmtId="179" fontId="67" fillId="21" borderId="1" xfId="0" applyNumberFormat="1" applyFont="1" applyFill="1" applyBorder="1" applyAlignment="1">
      <alignment horizontal="right" vertical="center" wrapText="1"/>
    </xf>
    <xf numFmtId="179" fontId="67" fillId="0" borderId="2" xfId="0" applyNumberFormat="1" applyFont="1" applyBorder="1" applyAlignment="1">
      <alignment horizontal="right" wrapText="1"/>
    </xf>
    <xf numFmtId="0" fontId="66" fillId="7" borderId="65" xfId="0" applyFont="1" applyFill="1" applyBorder="1" applyAlignment="1">
      <alignment horizontal="right" vertical="center" wrapText="1"/>
    </xf>
    <xf numFmtId="179" fontId="68" fillId="22" borderId="3" xfId="0" applyNumberFormat="1" applyFont="1" applyFill="1" applyBorder="1" applyAlignment="1">
      <alignment horizontal="right" vertical="center" wrapText="1"/>
    </xf>
    <xf numFmtId="0" fontId="67" fillId="22" borderId="3" xfId="0" applyFont="1" applyFill="1" applyBorder="1" applyAlignment="1">
      <alignment horizontal="center" vertical="center" wrapText="1"/>
    </xf>
    <xf numFmtId="179" fontId="77" fillId="22" borderId="3" xfId="0" applyNumberFormat="1" applyFont="1" applyFill="1" applyBorder="1" applyAlignment="1">
      <alignment horizontal="right" vertical="center" wrapText="1"/>
    </xf>
    <xf numFmtId="179" fontId="77" fillId="22" borderId="38" xfId="0" applyNumberFormat="1" applyFont="1" applyFill="1" applyBorder="1" applyAlignment="1">
      <alignment horizontal="right" vertical="center" wrapText="1"/>
    </xf>
    <xf numFmtId="179" fontId="97" fillId="0" borderId="66" xfId="0" applyNumberFormat="1" applyFont="1" applyFill="1" applyBorder="1" applyAlignment="1">
      <alignment horizontal="right" vertical="center" wrapText="1"/>
    </xf>
    <xf numFmtId="179" fontId="76" fillId="0" borderId="0" xfId="0" applyNumberFormat="1" applyFont="1" applyBorder="1" applyAlignment="1">
      <alignment wrapText="1"/>
    </xf>
    <xf numFmtId="179" fontId="68" fillId="25" borderId="13" xfId="0" applyNumberFormat="1" applyFont="1" applyFill="1" applyBorder="1" applyAlignment="1">
      <alignment horizontal="right" vertical="center" wrapText="1"/>
    </xf>
    <xf numFmtId="0" fontId="67" fillId="25" borderId="13" xfId="0" applyFont="1" applyFill="1" applyBorder="1" applyAlignment="1">
      <alignment horizontal="center" vertical="center" wrapText="1"/>
    </xf>
    <xf numFmtId="179" fontId="67" fillId="25" borderId="13" xfId="0" applyNumberFormat="1" applyFont="1" applyFill="1" applyBorder="1" applyAlignment="1">
      <alignment horizontal="right" vertical="center" wrapText="1"/>
    </xf>
    <xf numFmtId="179" fontId="77" fillId="25" borderId="13" xfId="0" applyNumberFormat="1" applyFont="1" applyFill="1" applyBorder="1" applyAlignment="1">
      <alignment horizontal="right" vertical="center" wrapText="1"/>
    </xf>
    <xf numFmtId="179" fontId="77" fillId="25" borderId="67" xfId="0" applyNumberFormat="1" applyFont="1" applyFill="1" applyBorder="1" applyAlignment="1">
      <alignment horizontal="right" vertical="center" wrapText="1"/>
    </xf>
    <xf numFmtId="179" fontId="68" fillId="9" borderId="5" xfId="0" applyNumberFormat="1" applyFont="1" applyFill="1" applyBorder="1" applyAlignment="1">
      <alignment horizontal="right" vertical="center" wrapText="1"/>
    </xf>
    <xf numFmtId="174" fontId="67" fillId="9" borderId="5" xfId="0" applyNumberFormat="1" applyFont="1" applyFill="1" applyBorder="1" applyAlignment="1">
      <alignment horizontal="center" vertical="center"/>
    </xf>
    <xf numFmtId="0" fontId="67" fillId="9" borderId="0" xfId="0" applyFont="1" applyFill="1" applyBorder="1" applyAlignment="1">
      <alignment horizontal="right" vertical="center" wrapText="1"/>
    </xf>
    <xf numFmtId="174" fontId="67" fillId="9" borderId="5" xfId="0" applyNumberFormat="1" applyFont="1" applyFill="1" applyBorder="1" applyAlignment="1">
      <alignment horizontal="right" vertical="center"/>
    </xf>
    <xf numFmtId="179" fontId="77" fillId="0" borderId="5" xfId="0" applyNumberFormat="1" applyFont="1" applyBorder="1" applyAlignment="1">
      <alignment horizontal="right" vertical="center" wrapText="1"/>
    </xf>
    <xf numFmtId="0" fontId="77" fillId="0" borderId="37" xfId="0" applyFont="1" applyBorder="1" applyAlignment="1">
      <alignment horizontal="right" vertical="center" wrapText="1"/>
    </xf>
    <xf numFmtId="174" fontId="66" fillId="7" borderId="70" xfId="0" applyNumberFormat="1" applyFont="1" applyFill="1" applyBorder="1" applyAlignment="1">
      <alignment horizontal="right" vertical="center" wrapText="1"/>
    </xf>
    <xf numFmtId="179" fontId="68" fillId="10" borderId="3" xfId="0" applyNumberFormat="1" applyFont="1" applyFill="1" applyBorder="1" applyAlignment="1">
      <alignment horizontal="right" vertical="center" wrapText="1"/>
    </xf>
    <xf numFmtId="0" fontId="67" fillId="10" borderId="3" xfId="0" applyFont="1" applyFill="1" applyBorder="1" applyAlignment="1">
      <alignment horizontal="center" vertical="center" wrapText="1"/>
    </xf>
    <xf numFmtId="0" fontId="68" fillId="10" borderId="3" xfId="0" applyFont="1" applyFill="1" applyBorder="1" applyAlignment="1">
      <alignment horizontal="right" vertical="center" wrapText="1"/>
    </xf>
    <xf numFmtId="179" fontId="77" fillId="10" borderId="3" xfId="0" applyNumberFormat="1" applyFont="1" applyFill="1" applyBorder="1" applyAlignment="1">
      <alignment vertical="center" wrapText="1"/>
    </xf>
    <xf numFmtId="179" fontId="77" fillId="10" borderId="38" xfId="0" applyNumberFormat="1" applyFont="1" applyFill="1" applyBorder="1" applyAlignment="1">
      <alignment vertical="center" wrapText="1"/>
    </xf>
    <xf numFmtId="174" fontId="97" fillId="0" borderId="66" xfId="0" applyNumberFormat="1" applyFont="1" applyFill="1" applyBorder="1" applyAlignment="1">
      <alignment horizontal="right" vertical="center" wrapText="1"/>
    </xf>
    <xf numFmtId="174" fontId="76" fillId="0" borderId="0" xfId="0" applyNumberFormat="1" applyFont="1" applyBorder="1" applyAlignment="1">
      <alignment wrapText="1"/>
    </xf>
    <xf numFmtId="179" fontId="68" fillId="36" borderId="13" xfId="0" applyNumberFormat="1" applyFont="1" applyFill="1" applyBorder="1" applyAlignment="1">
      <alignment horizontal="right" vertical="center" wrapText="1"/>
    </xf>
    <xf numFmtId="0" fontId="67" fillId="36" borderId="13" xfId="0" applyFont="1" applyFill="1" applyBorder="1" applyAlignment="1">
      <alignment horizontal="center" vertical="center" wrapText="1"/>
    </xf>
    <xf numFmtId="0" fontId="67" fillId="36" borderId="13" xfId="0" applyFont="1" applyFill="1" applyBorder="1" applyAlignment="1">
      <alignment horizontal="right" vertical="center" wrapText="1"/>
    </xf>
    <xf numFmtId="179" fontId="77" fillId="36" borderId="13" xfId="0" applyNumberFormat="1" applyFont="1" applyFill="1" applyBorder="1" applyAlignment="1">
      <alignment vertical="center" wrapText="1"/>
    </xf>
    <xf numFmtId="179" fontId="77" fillId="36" borderId="67" xfId="0" applyNumberFormat="1" applyFont="1" applyFill="1" applyBorder="1" applyAlignment="1">
      <alignment vertical="center" wrapText="1"/>
    </xf>
    <xf numFmtId="179" fontId="67" fillId="0" borderId="5" xfId="0" applyNumberFormat="1" applyFont="1" applyBorder="1" applyAlignment="1">
      <alignment vertical="center" wrapText="1"/>
    </xf>
    <xf numFmtId="179" fontId="67" fillId="0" borderId="37" xfId="0" applyNumberFormat="1" applyFont="1" applyBorder="1" applyAlignment="1">
      <alignment vertical="center" wrapText="1"/>
    </xf>
    <xf numFmtId="174" fontId="66" fillId="0" borderId="70" xfId="0" applyNumberFormat="1" applyFont="1" applyFill="1" applyBorder="1" applyAlignment="1">
      <alignment horizontal="right" vertical="center" wrapText="1"/>
    </xf>
    <xf numFmtId="0" fontId="67" fillId="27" borderId="2" xfId="0" applyFont="1" applyFill="1" applyBorder="1" applyAlignment="1">
      <alignment horizontal="right" vertical="center" wrapText="1"/>
    </xf>
    <xf numFmtId="179" fontId="97" fillId="0" borderId="65" xfId="0" applyNumberFormat="1" applyFont="1" applyFill="1" applyBorder="1" applyAlignment="1">
      <alignment horizontal="right" vertical="center" wrapText="1"/>
    </xf>
    <xf numFmtId="0" fontId="67" fillId="28" borderId="2" xfId="0" applyFont="1" applyFill="1" applyBorder="1" applyAlignment="1">
      <alignment horizontal="right" vertical="center" wrapText="1"/>
    </xf>
    <xf numFmtId="174" fontId="77" fillId="10" borderId="66" xfId="0" applyNumberFormat="1" applyFont="1" applyFill="1" applyBorder="1" applyAlignment="1">
      <alignment horizontal="right" vertical="center" wrapText="1"/>
    </xf>
    <xf numFmtId="0" fontId="67" fillId="7" borderId="2" xfId="0" applyFont="1" applyFill="1" applyBorder="1" applyAlignment="1">
      <alignment horizontal="right" vertical="center" wrapText="1"/>
    </xf>
    <xf numFmtId="0" fontId="67" fillId="10" borderId="65" xfId="0" applyFont="1" applyFill="1" applyBorder="1" applyAlignment="1">
      <alignment horizontal="right" vertical="center" wrapText="1"/>
    </xf>
    <xf numFmtId="174" fontId="66" fillId="10" borderId="66" xfId="0" applyNumberFormat="1" applyFont="1" applyFill="1" applyBorder="1" applyAlignment="1">
      <alignment horizontal="right" vertical="center" wrapText="1"/>
    </xf>
    <xf numFmtId="0" fontId="68" fillId="29" borderId="3" xfId="0" applyFont="1" applyFill="1" applyBorder="1" applyAlignment="1">
      <alignment horizontal="right" vertical="center" wrapText="1"/>
    </xf>
    <xf numFmtId="174" fontId="67" fillId="29" borderId="3" xfId="0" applyNumberFormat="1" applyFont="1" applyFill="1" applyBorder="1" applyAlignment="1">
      <alignment horizontal="center" vertical="center" wrapText="1"/>
    </xf>
    <xf numFmtId="179" fontId="67" fillId="29" borderId="3" xfId="0" applyNumberFormat="1" applyFont="1" applyFill="1" applyBorder="1" applyAlignment="1">
      <alignment horizontal="center" vertical="center" wrapText="1"/>
    </xf>
    <xf numFmtId="179" fontId="67" fillId="29" borderId="3" xfId="0" applyNumberFormat="1" applyFont="1" applyFill="1" applyBorder="1" applyAlignment="1">
      <alignment horizontal="right" vertical="center" wrapText="1"/>
    </xf>
    <xf numFmtId="0" fontId="67" fillId="7" borderId="3" xfId="0" applyFont="1" applyFill="1" applyBorder="1" applyAlignment="1">
      <alignment horizontal="right" vertical="center" wrapText="1"/>
    </xf>
    <xf numFmtId="0" fontId="67" fillId="7" borderId="38" xfId="0" applyFont="1" applyFill="1" applyBorder="1" applyAlignment="1">
      <alignment horizontal="right" vertical="center" wrapText="1"/>
    </xf>
    <xf numFmtId="0" fontId="68" fillId="14" borderId="13" xfId="0" applyFont="1" applyFill="1" applyBorder="1" applyAlignment="1">
      <alignment horizontal="right" vertical="center" wrapText="1"/>
    </xf>
    <xf numFmtId="0" fontId="67" fillId="14" borderId="13" xfId="0" applyFont="1" applyFill="1" applyBorder="1" applyAlignment="1">
      <alignment horizontal="center" vertical="center" wrapText="1"/>
    </xf>
    <xf numFmtId="179" fontId="68" fillId="14" borderId="13" xfId="0" applyNumberFormat="1" applyFont="1" applyFill="1" applyBorder="1" applyAlignment="1">
      <alignment horizontal="right" vertical="center" wrapText="1"/>
    </xf>
    <xf numFmtId="179" fontId="77" fillId="14" borderId="13" xfId="0" applyNumberFormat="1" applyFont="1" applyFill="1" applyBorder="1" applyAlignment="1">
      <alignment horizontal="right" vertical="center" wrapText="1"/>
    </xf>
    <xf numFmtId="179" fontId="77" fillId="14" borderId="67" xfId="0" applyNumberFormat="1" applyFont="1" applyFill="1" applyBorder="1" applyAlignment="1">
      <alignment horizontal="right" vertical="center" wrapText="1"/>
    </xf>
    <xf numFmtId="179" fontId="68" fillId="15" borderId="5" xfId="0" applyNumberFormat="1" applyFont="1" applyFill="1" applyBorder="1" applyAlignment="1">
      <alignment horizontal="right" vertical="center" wrapText="1"/>
    </xf>
    <xf numFmtId="179" fontId="67" fillId="15" borderId="5" xfId="0" applyNumberFormat="1" applyFont="1" applyFill="1" applyBorder="1" applyAlignment="1">
      <alignment vertical="center" wrapText="1"/>
    </xf>
    <xf numFmtId="174" fontId="66" fillId="0" borderId="69" xfId="0" applyNumberFormat="1" applyFont="1" applyFill="1" applyBorder="1" applyAlignment="1">
      <alignment horizontal="right" vertical="center" wrapText="1"/>
    </xf>
    <xf numFmtId="0" fontId="71" fillId="0" borderId="0" xfId="0" applyFont="1" applyBorder="1" applyAlignment="1">
      <alignment wrapText="1"/>
    </xf>
    <xf numFmtId="174" fontId="66" fillId="0" borderId="66" xfId="0" applyNumberFormat="1" applyFont="1" applyFill="1" applyBorder="1" applyAlignment="1">
      <alignment horizontal="right" vertical="center" wrapText="1"/>
    </xf>
    <xf numFmtId="0" fontId="67" fillId="28" borderId="5" xfId="0" applyFont="1" applyFill="1" applyBorder="1" applyAlignment="1">
      <alignment horizontal="center" vertical="center" wrapText="1"/>
    </xf>
    <xf numFmtId="179" fontId="67" fillId="28" borderId="1" xfId="0" applyNumberFormat="1" applyFont="1" applyFill="1" applyBorder="1" applyAlignment="1">
      <alignment horizontal="right" vertical="center" wrapText="1"/>
    </xf>
    <xf numFmtId="179" fontId="67" fillId="28" borderId="2" xfId="0" applyNumberFormat="1" applyFont="1" applyFill="1" applyBorder="1" applyAlignment="1">
      <alignment horizontal="right" vertical="center" wrapText="1"/>
    </xf>
    <xf numFmtId="179" fontId="67" fillId="28" borderId="1" xfId="0" applyNumberFormat="1" applyFont="1" applyFill="1" applyBorder="1" applyAlignment="1">
      <alignment vertical="center" wrapText="1"/>
    </xf>
    <xf numFmtId="179" fontId="67" fillId="28" borderId="5" xfId="0" applyNumberFormat="1" applyFont="1" applyFill="1" applyBorder="1" applyAlignment="1">
      <alignment vertical="center" wrapText="1"/>
    </xf>
    <xf numFmtId="179" fontId="68" fillId="28" borderId="1" xfId="0" applyNumberFormat="1" applyFont="1" applyFill="1" applyBorder="1" applyAlignment="1">
      <alignment vertical="center" wrapText="1"/>
    </xf>
    <xf numFmtId="179" fontId="67" fillId="29" borderId="1" xfId="0" applyNumberFormat="1" applyFont="1" applyFill="1" applyBorder="1" applyAlignment="1">
      <alignment vertical="center"/>
    </xf>
    <xf numFmtId="179" fontId="67" fillId="29" borderId="1" xfId="0" applyNumberFormat="1" applyFont="1" applyFill="1" applyBorder="1" applyAlignment="1">
      <alignment vertical="center" wrapText="1"/>
    </xf>
    <xf numFmtId="179" fontId="67" fillId="29" borderId="3" xfId="0" applyNumberFormat="1" applyFont="1" applyFill="1" applyBorder="1" applyAlignment="1">
      <alignment vertical="center" wrapText="1"/>
    </xf>
    <xf numFmtId="179" fontId="67" fillId="14" borderId="13" xfId="0" applyNumberFormat="1" applyFont="1" applyFill="1" applyBorder="1" applyAlignment="1">
      <alignment vertical="center" wrapText="1"/>
    </xf>
    <xf numFmtId="179" fontId="68" fillId="14" borderId="13" xfId="0" applyNumberFormat="1" applyFont="1" applyFill="1" applyBorder="1" applyAlignment="1">
      <alignment vertical="center" wrapText="1"/>
    </xf>
    <xf numFmtId="0" fontId="67" fillId="7" borderId="5" xfId="0" applyFont="1" applyFill="1" applyBorder="1" applyAlignment="1">
      <alignment horizontal="right" vertical="center" wrapText="1"/>
    </xf>
    <xf numFmtId="0" fontId="67" fillId="7" borderId="37" xfId="0" applyFont="1" applyFill="1" applyBorder="1" applyAlignment="1">
      <alignment horizontal="right" vertical="center" wrapText="1"/>
    </xf>
    <xf numFmtId="174" fontId="66" fillId="0" borderId="68" xfId="0" applyNumberFormat="1" applyFont="1" applyFill="1" applyBorder="1" applyAlignment="1">
      <alignment horizontal="right" vertical="center" wrapText="1"/>
    </xf>
    <xf numFmtId="174" fontId="73" fillId="0" borderId="0" xfId="0" applyNumberFormat="1" applyFont="1" applyFill="1" applyBorder="1" applyAlignment="1">
      <alignment vertical="center" wrapText="1"/>
    </xf>
    <xf numFmtId="0" fontId="67" fillId="0" borderId="28" xfId="0" applyFont="1" applyBorder="1" applyAlignment="1">
      <alignment wrapText="1"/>
    </xf>
    <xf numFmtId="0" fontId="73" fillId="0" borderId="0" xfId="0" applyFont="1" applyFill="1" applyBorder="1" applyAlignment="1">
      <alignment vertical="center" wrapText="1"/>
    </xf>
    <xf numFmtId="174" fontId="67" fillId="0" borderId="0" xfId="0" applyNumberFormat="1" applyFont="1" applyBorder="1" applyAlignment="1">
      <alignment wrapText="1"/>
    </xf>
    <xf numFmtId="179" fontId="68" fillId="20" borderId="22" xfId="0" applyNumberFormat="1" applyFont="1" applyFill="1" applyBorder="1" applyAlignment="1">
      <alignment horizontal="right" vertical="center" wrapText="1"/>
    </xf>
    <xf numFmtId="179" fontId="68" fillId="20" borderId="23" xfId="0" applyNumberFormat="1" applyFont="1" applyFill="1" applyBorder="1" applyAlignment="1">
      <alignment horizontal="right" vertical="center" wrapText="1"/>
    </xf>
    <xf numFmtId="179" fontId="68" fillId="20" borderId="24" xfId="0" applyNumberFormat="1" applyFont="1" applyFill="1" applyBorder="1" applyAlignment="1">
      <alignment horizontal="right" vertical="center" wrapText="1"/>
    </xf>
    <xf numFmtId="179" fontId="68" fillId="8" borderId="71" xfId="0" applyNumberFormat="1" applyFont="1" applyFill="1" applyBorder="1" applyAlignment="1">
      <alignment horizontal="right" vertical="center" wrapText="1"/>
    </xf>
    <xf numFmtId="179" fontId="68" fillId="4" borderId="56" xfId="0" applyNumberFormat="1" applyFont="1" applyFill="1" applyBorder="1" applyAlignment="1">
      <alignment horizontal="right" vertical="center" wrapText="1"/>
    </xf>
    <xf numFmtId="179" fontId="68" fillId="5" borderId="32" xfId="0" applyNumberFormat="1" applyFont="1" applyFill="1" applyBorder="1" applyAlignment="1">
      <alignment horizontal="right" vertical="center" wrapText="1"/>
    </xf>
    <xf numFmtId="179" fontId="78" fillId="5" borderId="22" xfId="0" applyNumberFormat="1" applyFont="1" applyFill="1" applyBorder="1" applyAlignment="1">
      <alignment horizontal="right" vertical="center" wrapText="1"/>
    </xf>
    <xf numFmtId="179" fontId="78" fillId="5" borderId="23" xfId="0" applyNumberFormat="1" applyFont="1" applyFill="1" applyBorder="1" applyAlignment="1">
      <alignment horizontal="right" vertical="center" wrapText="1"/>
    </xf>
    <xf numFmtId="179" fontId="78" fillId="4" borderId="23" xfId="0" applyNumberFormat="1" applyFont="1" applyFill="1" applyBorder="1" applyAlignment="1">
      <alignment horizontal="right" vertical="center" wrapText="1"/>
    </xf>
    <xf numFmtId="179" fontId="83" fillId="5" borderId="23" xfId="0" applyNumberFormat="1" applyFont="1" applyFill="1" applyBorder="1" applyAlignment="1">
      <alignment horizontal="right" vertical="center" wrapText="1"/>
    </xf>
    <xf numFmtId="179" fontId="83" fillId="5" borderId="24" xfId="0" applyNumberFormat="1" applyFont="1" applyFill="1" applyBorder="1" applyAlignment="1">
      <alignment horizontal="right" vertical="center" wrapText="1"/>
    </xf>
    <xf numFmtId="179" fontId="78" fillId="4" borderId="56" xfId="0" applyNumberFormat="1" applyFont="1" applyFill="1" applyBorder="1" applyAlignment="1">
      <alignment horizontal="right" vertical="center" wrapText="1"/>
    </xf>
    <xf numFmtId="179" fontId="68" fillId="4" borderId="23" xfId="0" applyNumberFormat="1" applyFont="1" applyFill="1" applyBorder="1" applyAlignment="1">
      <alignment horizontal="right" vertical="center" wrapText="1"/>
    </xf>
    <xf numFmtId="179" fontId="66" fillId="4" borderId="23" xfId="0" applyNumberFormat="1" applyFont="1" applyFill="1" applyBorder="1" applyAlignment="1">
      <alignment horizontal="right" vertical="center" wrapText="1"/>
    </xf>
    <xf numFmtId="179" fontId="68" fillId="5" borderId="22" xfId="0" applyNumberFormat="1" applyFont="1" applyFill="1" applyBorder="1" applyAlignment="1">
      <alignment horizontal="right" vertical="center" wrapText="1"/>
    </xf>
    <xf numFmtId="179" fontId="68" fillId="16" borderId="24" xfId="0" applyNumberFormat="1" applyFont="1" applyFill="1" applyBorder="1" applyAlignment="1">
      <alignment horizontal="right" vertical="center" wrapText="1"/>
    </xf>
    <xf numFmtId="179" fontId="68" fillId="17" borderId="56" xfId="0" applyNumberFormat="1" applyFont="1" applyFill="1" applyBorder="1" applyAlignment="1">
      <alignment horizontal="right" vertical="center" wrapText="1"/>
    </xf>
    <xf numFmtId="179" fontId="68" fillId="17" borderId="23" xfId="0" applyNumberFormat="1" applyFont="1" applyFill="1" applyBorder="1" applyAlignment="1">
      <alignment horizontal="right" vertical="center" wrapText="1"/>
    </xf>
    <xf numFmtId="179" fontId="83" fillId="18" borderId="23" xfId="0" applyNumberFormat="1" applyFont="1" applyFill="1" applyBorder="1" applyAlignment="1">
      <alignment horizontal="right" vertical="center" wrapText="1"/>
    </xf>
    <xf numFmtId="179" fontId="84" fillId="17" borderId="23" xfId="0" applyNumberFormat="1" applyFont="1" applyFill="1" applyBorder="1" applyAlignment="1">
      <alignment horizontal="right" vertical="center" wrapText="1"/>
    </xf>
    <xf numFmtId="179" fontId="83" fillId="18" borderId="24" xfId="0" applyNumberFormat="1" applyFont="1" applyFill="1" applyBorder="1" applyAlignment="1">
      <alignment horizontal="right" vertical="center" wrapText="1"/>
    </xf>
    <xf numFmtId="179" fontId="83" fillId="17" borderId="23" xfId="0" applyNumberFormat="1" applyFont="1" applyFill="1" applyBorder="1" applyAlignment="1">
      <alignment horizontal="right" vertical="center" wrapText="1"/>
    </xf>
    <xf numFmtId="179" fontId="66" fillId="17" borderId="23" xfId="0" applyNumberFormat="1" applyFont="1" applyFill="1" applyBorder="1" applyAlignment="1">
      <alignment horizontal="right" vertical="center" wrapText="1"/>
    </xf>
    <xf numFmtId="179" fontId="68" fillId="33" borderId="24" xfId="0" applyNumberFormat="1" applyFont="1" applyFill="1" applyBorder="1" applyAlignment="1">
      <alignment horizontal="right" vertical="center" wrapText="1"/>
    </xf>
    <xf numFmtId="179" fontId="68" fillId="34" borderId="56" xfId="0" applyNumberFormat="1" applyFont="1" applyFill="1" applyBorder="1" applyAlignment="1">
      <alignment horizontal="right" vertical="center" wrapText="1"/>
    </xf>
    <xf numFmtId="179" fontId="68" fillId="35" borderId="22" xfId="0" applyNumberFormat="1" applyFont="1" applyFill="1" applyBorder="1" applyAlignment="1">
      <alignment horizontal="right" vertical="center" wrapText="1"/>
    </xf>
    <xf numFmtId="179" fontId="68" fillId="11" borderId="24" xfId="0" applyNumberFormat="1" applyFont="1" applyFill="1" applyBorder="1" applyAlignment="1">
      <alignment horizontal="right" vertical="center" wrapText="1"/>
    </xf>
    <xf numFmtId="179" fontId="68" fillId="24" borderId="56" xfId="0" applyNumberFormat="1" applyFont="1" applyFill="1" applyBorder="1" applyAlignment="1">
      <alignment horizontal="right" vertical="center" wrapText="1"/>
    </xf>
    <xf numFmtId="179" fontId="68" fillId="21" borderId="22" xfId="0" applyNumberFormat="1" applyFont="1" applyFill="1" applyBorder="1" applyAlignment="1">
      <alignment horizontal="right" vertical="center" wrapText="1"/>
    </xf>
    <xf numFmtId="179" fontId="68" fillId="21" borderId="24" xfId="0" applyNumberFormat="1" applyFont="1" applyFill="1" applyBorder="1" applyAlignment="1">
      <alignment horizontal="right" vertical="center" wrapText="1"/>
    </xf>
    <xf numFmtId="179" fontId="68" fillId="21" borderId="23" xfId="0" applyNumberFormat="1" applyFont="1" applyFill="1" applyBorder="1" applyAlignment="1">
      <alignment horizontal="right" vertical="center" wrapText="1"/>
    </xf>
    <xf numFmtId="179" fontId="68" fillId="22" borderId="24" xfId="0" applyNumberFormat="1" applyFont="1" applyFill="1" applyBorder="1" applyAlignment="1">
      <alignment horizontal="right" vertical="center" wrapText="1"/>
    </xf>
    <xf numFmtId="179" fontId="68" fillId="25" borderId="56" xfId="0" applyNumberFormat="1" applyFont="1" applyFill="1" applyBorder="1" applyAlignment="1">
      <alignment horizontal="right" vertical="center" wrapText="1"/>
    </xf>
    <xf numFmtId="179" fontId="68" fillId="9" borderId="22" xfId="0" applyNumberFormat="1" applyFont="1" applyFill="1" applyBorder="1" applyAlignment="1">
      <alignment horizontal="right" vertical="center" wrapText="1"/>
    </xf>
    <xf numFmtId="179" fontId="68" fillId="10" borderId="24" xfId="0" applyNumberFormat="1" applyFont="1" applyFill="1" applyBorder="1" applyAlignment="1">
      <alignment horizontal="right" vertical="center" wrapText="1"/>
    </xf>
    <xf numFmtId="179" fontId="68" fillId="36" borderId="56" xfId="0" applyNumberFormat="1" applyFont="1" applyFill="1" applyBorder="1" applyAlignment="1">
      <alignment horizontal="right" vertical="center" wrapText="1"/>
    </xf>
    <xf numFmtId="0" fontId="68" fillId="27" borderId="23" xfId="0" applyFont="1" applyFill="1" applyBorder="1" applyAlignment="1">
      <alignment horizontal="right" vertical="center" wrapText="1"/>
    </xf>
    <xf numFmtId="0" fontId="68" fillId="28" borderId="23" xfId="0" applyFont="1" applyFill="1" applyBorder="1" applyAlignment="1">
      <alignment horizontal="right" vertical="center" wrapText="1"/>
    </xf>
    <xf numFmtId="0" fontId="68" fillId="29" borderId="23" xfId="0" applyFont="1" applyFill="1" applyBorder="1" applyAlignment="1">
      <alignment horizontal="right" vertical="center" wrapText="1"/>
    </xf>
    <xf numFmtId="0" fontId="68" fillId="29" borderId="24" xfId="0" applyFont="1" applyFill="1" applyBorder="1" applyAlignment="1">
      <alignment horizontal="right" vertical="center" wrapText="1"/>
    </xf>
    <xf numFmtId="0" fontId="68" fillId="14" borderId="56" xfId="0" applyFont="1" applyFill="1" applyBorder="1" applyAlignment="1">
      <alignment horizontal="right" vertical="center" wrapText="1"/>
    </xf>
    <xf numFmtId="179" fontId="68" fillId="15" borderId="22" xfId="0" applyNumberFormat="1" applyFont="1" applyFill="1" applyBorder="1" applyAlignment="1">
      <alignment horizontal="right" vertical="center" wrapText="1"/>
    </xf>
    <xf numFmtId="0" fontId="66" fillId="30" borderId="36" xfId="0" applyFont="1" applyFill="1" applyBorder="1" applyAlignment="1">
      <alignment vertical="top" wrapText="1"/>
    </xf>
    <xf numFmtId="0" fontId="66" fillId="8" borderId="1" xfId="0" applyFont="1" applyFill="1" applyBorder="1" applyAlignment="1">
      <alignment vertical="top" wrapText="1"/>
    </xf>
    <xf numFmtId="0" fontId="66" fillId="4" borderId="1" xfId="0" applyFont="1" applyFill="1" applyBorder="1" applyAlignment="1">
      <alignment vertical="top" wrapText="1"/>
    </xf>
    <xf numFmtId="0" fontId="94" fillId="4" borderId="1" xfId="0" applyFont="1" applyFill="1" applyBorder="1" applyAlignment="1">
      <alignment horizontal="left" vertical="center" wrapText="1"/>
    </xf>
    <xf numFmtId="0" fontId="79" fillId="5" borderId="1" xfId="0" applyFont="1" applyFill="1" applyBorder="1" applyAlignment="1">
      <alignment wrapText="1"/>
    </xf>
    <xf numFmtId="0" fontId="82" fillId="4" borderId="1" xfId="0" applyFont="1" applyFill="1" applyBorder="1" applyAlignment="1">
      <alignment horizontal="left" vertical="center" wrapText="1"/>
    </xf>
    <xf numFmtId="0" fontId="94" fillId="4" borderId="1" xfId="0" applyFont="1" applyFill="1" applyBorder="1" applyAlignment="1">
      <alignment wrapText="1"/>
    </xf>
    <xf numFmtId="0" fontId="67" fillId="5" borderId="1" xfId="0" applyFont="1" applyFill="1" applyBorder="1" applyAlignment="1">
      <alignment wrapText="1"/>
    </xf>
    <xf numFmtId="0" fontId="66" fillId="4" borderId="1" xfId="0" applyFont="1" applyFill="1" applyBorder="1" applyAlignment="1">
      <alignment wrapText="1"/>
    </xf>
    <xf numFmtId="0" fontId="94" fillId="17" borderId="1" xfId="0" applyFont="1" applyFill="1" applyBorder="1" applyAlignment="1">
      <alignment horizontal="left" vertical="center" wrapText="1"/>
    </xf>
    <xf numFmtId="0" fontId="67" fillId="18" borderId="1" xfId="0" applyFont="1" applyFill="1" applyBorder="1" applyAlignment="1">
      <alignment wrapText="1"/>
    </xf>
    <xf numFmtId="0" fontId="90" fillId="17" borderId="1" xfId="0" applyFont="1" applyFill="1" applyBorder="1" applyAlignment="1">
      <alignment horizontal="left" vertical="center" wrapText="1"/>
    </xf>
    <xf numFmtId="0" fontId="94" fillId="17" borderId="1" xfId="0" applyFont="1" applyFill="1" applyBorder="1" applyAlignment="1">
      <alignment wrapText="1"/>
    </xf>
    <xf numFmtId="0" fontId="66" fillId="33" borderId="1" xfId="0" applyFont="1" applyFill="1" applyBorder="1" applyAlignment="1">
      <alignment wrapText="1"/>
    </xf>
    <xf numFmtId="0" fontId="66" fillId="34" borderId="1" xfId="0" applyFont="1" applyFill="1" applyBorder="1" applyAlignment="1">
      <alignment horizontal="left" vertical="center" wrapText="1"/>
    </xf>
    <xf numFmtId="0" fontId="66" fillId="11" borderId="1" xfId="0" applyFont="1" applyFill="1" applyBorder="1" applyAlignment="1">
      <alignment wrapText="1"/>
    </xf>
    <xf numFmtId="0" fontId="66" fillId="24" borderId="1" xfId="0" applyFont="1" applyFill="1" applyBorder="1" applyAlignment="1">
      <alignment horizontal="left" vertical="center" wrapText="1"/>
    </xf>
    <xf numFmtId="0" fontId="66" fillId="22" borderId="1" xfId="0" applyFont="1" applyFill="1" applyBorder="1" applyAlignment="1">
      <alignment wrapText="1"/>
    </xf>
    <xf numFmtId="0" fontId="66" fillId="25" borderId="1" xfId="0" applyFont="1" applyFill="1" applyBorder="1" applyAlignment="1">
      <alignment horizontal="left" vertical="center" wrapText="1"/>
    </xf>
    <xf numFmtId="0" fontId="66" fillId="10" borderId="1" xfId="0" applyFont="1" applyFill="1" applyBorder="1" applyAlignment="1">
      <alignment wrapText="1"/>
    </xf>
    <xf numFmtId="0" fontId="84" fillId="36" borderId="1" xfId="0" applyFont="1" applyFill="1" applyBorder="1" applyAlignment="1">
      <alignment wrapText="1"/>
    </xf>
    <xf numFmtId="0" fontId="66" fillId="14" borderId="1" xfId="0" applyFont="1" applyFill="1" applyBorder="1" applyAlignment="1">
      <alignment wrapText="1"/>
    </xf>
    <xf numFmtId="0" fontId="92" fillId="20" borderId="1" xfId="0" applyFont="1" applyFill="1" applyBorder="1" applyAlignment="1">
      <alignment vertical="center" wrapText="1"/>
    </xf>
    <xf numFmtId="0" fontId="65" fillId="20" borderId="1" xfId="0" applyFont="1" applyFill="1" applyBorder="1" applyAlignment="1">
      <alignment vertical="center" wrapText="1"/>
    </xf>
    <xf numFmtId="0" fontId="65" fillId="15" borderId="1" xfId="0" applyFont="1" applyFill="1" applyBorder="1" applyAlignment="1">
      <alignment wrapText="1"/>
    </xf>
    <xf numFmtId="0" fontId="65" fillId="5" borderId="1" xfId="0" applyFont="1" applyFill="1" applyBorder="1" applyAlignment="1">
      <alignment wrapText="1"/>
    </xf>
    <xf numFmtId="0" fontId="65" fillId="9" borderId="1" xfId="0" applyFont="1" applyFill="1" applyBorder="1" applyAlignment="1">
      <alignment wrapText="1"/>
    </xf>
    <xf numFmtId="0" fontId="65" fillId="35" borderId="1" xfId="0" applyFont="1" applyFill="1" applyBorder="1" applyAlignment="1">
      <alignment wrapText="1"/>
    </xf>
    <xf numFmtId="0" fontId="65" fillId="21" borderId="1" xfId="0" applyFont="1" applyFill="1" applyBorder="1" applyAlignment="1">
      <alignment wrapText="1"/>
    </xf>
    <xf numFmtId="0" fontId="96" fillId="20" borderId="1" xfId="0" applyFont="1" applyFill="1" applyBorder="1" applyAlignment="1">
      <alignment vertical="center" wrapText="1"/>
    </xf>
    <xf numFmtId="179" fontId="83" fillId="5" borderId="22" xfId="0" applyNumberFormat="1" applyFont="1" applyFill="1" applyBorder="1" applyAlignment="1">
      <alignment horizontal="right" vertical="center" wrapText="1"/>
    </xf>
    <xf numFmtId="179" fontId="83" fillId="5" borderId="5" xfId="0" applyNumberFormat="1" applyFont="1" applyFill="1" applyBorder="1" applyAlignment="1">
      <alignment horizontal="right" vertical="center" wrapText="1"/>
    </xf>
    <xf numFmtId="0" fontId="93" fillId="5" borderId="1" xfId="0" applyFont="1" applyFill="1" applyBorder="1" applyAlignment="1">
      <alignment wrapText="1"/>
    </xf>
    <xf numFmtId="179" fontId="83" fillId="5" borderId="5" xfId="0" applyNumberFormat="1" applyFont="1" applyFill="1" applyBorder="1" applyAlignment="1">
      <alignment horizontal="center" vertical="center" wrapText="1"/>
    </xf>
    <xf numFmtId="174" fontId="83" fillId="5" borderId="5" xfId="0" applyNumberFormat="1" applyFont="1" applyFill="1" applyBorder="1" applyAlignment="1">
      <alignment horizontal="center" vertical="center" wrapText="1"/>
    </xf>
    <xf numFmtId="174" fontId="83" fillId="5" borderId="5" xfId="0" applyNumberFormat="1" applyFont="1" applyFill="1" applyBorder="1" applyAlignment="1">
      <alignment horizontal="center" vertical="center"/>
    </xf>
    <xf numFmtId="0" fontId="83" fillId="5" borderId="1" xfId="0" applyFont="1" applyFill="1" applyBorder="1" applyAlignment="1">
      <alignment horizontal="right" vertical="center" wrapText="1"/>
    </xf>
    <xf numFmtId="174" fontId="83" fillId="5" borderId="5" xfId="0" applyNumberFormat="1" applyFont="1" applyFill="1" applyBorder="1" applyAlignment="1">
      <alignment horizontal="right" vertical="center"/>
    </xf>
    <xf numFmtId="179" fontId="83" fillId="18" borderId="32" xfId="0" applyNumberFormat="1" applyFont="1" applyFill="1" applyBorder="1" applyAlignment="1">
      <alignment horizontal="right" vertical="center" wrapText="1"/>
    </xf>
    <xf numFmtId="179" fontId="83" fillId="18" borderId="21" xfId="0" applyNumberFormat="1" applyFont="1" applyFill="1" applyBorder="1" applyAlignment="1">
      <alignment horizontal="right" vertical="center" wrapText="1"/>
    </xf>
    <xf numFmtId="0" fontId="93" fillId="18" borderId="1" xfId="0" applyFont="1" applyFill="1" applyBorder="1" applyAlignment="1">
      <alignment wrapText="1"/>
    </xf>
    <xf numFmtId="179" fontId="83" fillId="18" borderId="21" xfId="0" applyNumberFormat="1" applyFont="1" applyFill="1" applyBorder="1" applyAlignment="1">
      <alignment horizontal="center" vertical="center" wrapText="1"/>
    </xf>
    <xf numFmtId="179" fontId="83" fillId="18" borderId="0" xfId="0" applyNumberFormat="1" applyFont="1" applyFill="1" applyBorder="1" applyAlignment="1">
      <alignment horizontal="right" vertical="center" wrapText="1"/>
    </xf>
    <xf numFmtId="179" fontId="83" fillId="18" borderId="22" xfId="0" applyNumberFormat="1" applyFont="1" applyFill="1" applyBorder="1" applyAlignment="1">
      <alignment horizontal="right" vertical="center" wrapText="1"/>
    </xf>
    <xf numFmtId="179" fontId="83" fillId="18" borderId="5" xfId="0" applyNumberFormat="1" applyFont="1" applyFill="1" applyBorder="1" applyAlignment="1">
      <alignment horizontal="right" vertical="center" wrapText="1"/>
    </xf>
    <xf numFmtId="179" fontId="83" fillId="18" borderId="5" xfId="0" applyNumberFormat="1" applyFont="1" applyFill="1" applyBorder="1" applyAlignment="1">
      <alignment horizontal="center" vertical="center" wrapText="1"/>
    </xf>
    <xf numFmtId="179" fontId="83" fillId="35" borderId="23" xfId="0" applyNumberFormat="1" applyFont="1" applyFill="1" applyBorder="1" applyAlignment="1">
      <alignment horizontal="right" vertical="center" wrapText="1"/>
    </xf>
    <xf numFmtId="179" fontId="83" fillId="35" borderId="1" xfId="0" applyNumberFormat="1" applyFont="1" applyFill="1" applyBorder="1" applyAlignment="1">
      <alignment horizontal="right" vertical="center" wrapText="1"/>
    </xf>
    <xf numFmtId="0" fontId="93" fillId="35" borderId="1" xfId="0" applyFont="1" applyFill="1" applyBorder="1" applyAlignment="1">
      <alignment wrapText="1"/>
    </xf>
    <xf numFmtId="179" fontId="83" fillId="35" borderId="1" xfId="0" applyNumberFormat="1" applyFont="1" applyFill="1" applyBorder="1" applyAlignment="1">
      <alignment horizontal="center" vertical="center"/>
    </xf>
    <xf numFmtId="179" fontId="83" fillId="35" borderId="1" xfId="0" applyNumberFormat="1" applyFont="1" applyFill="1" applyBorder="1" applyAlignment="1">
      <alignment horizontal="center" vertical="center" wrapText="1"/>
    </xf>
    <xf numFmtId="179" fontId="83" fillId="35" borderId="5" xfId="0" applyNumberFormat="1" applyFont="1" applyFill="1" applyBorder="1" applyAlignment="1">
      <alignment horizontal="center" vertical="center" wrapText="1"/>
    </xf>
    <xf numFmtId="179" fontId="83" fillId="12" borderId="22" xfId="0" applyNumberFormat="1" applyFont="1" applyFill="1" applyBorder="1" applyAlignment="1">
      <alignment horizontal="right" vertical="center" wrapText="1"/>
    </xf>
    <xf numFmtId="179" fontId="83" fillId="12" borderId="5" xfId="0" applyNumberFormat="1" applyFont="1" applyFill="1" applyBorder="1" applyAlignment="1">
      <alignment horizontal="right" vertical="center" wrapText="1"/>
    </xf>
    <xf numFmtId="179" fontId="83" fillId="12" borderId="5" xfId="0" applyNumberFormat="1" applyFont="1" applyFill="1" applyBorder="1" applyAlignment="1">
      <alignment horizontal="left" vertical="center" wrapText="1"/>
    </xf>
    <xf numFmtId="179" fontId="83" fillId="12" borderId="5" xfId="0" applyNumberFormat="1" applyFont="1" applyFill="1" applyBorder="1" applyAlignment="1">
      <alignment horizontal="center" vertical="center" wrapText="1"/>
    </xf>
    <xf numFmtId="179" fontId="83" fillId="15" borderId="23" xfId="0" applyNumberFormat="1" applyFont="1" applyFill="1" applyBorder="1" applyAlignment="1">
      <alignment horizontal="right" vertical="center" wrapText="1"/>
    </xf>
    <xf numFmtId="179" fontId="83" fillId="15" borderId="1" xfId="0" applyNumberFormat="1" applyFont="1" applyFill="1" applyBorder="1" applyAlignment="1">
      <alignment horizontal="right" vertical="center" wrapText="1"/>
    </xf>
    <xf numFmtId="0" fontId="93" fillId="15" borderId="1" xfId="0" applyFont="1" applyFill="1" applyBorder="1" applyAlignment="1">
      <alignment wrapText="1"/>
    </xf>
    <xf numFmtId="179" fontId="83" fillId="15" borderId="1" xfId="0" applyNumberFormat="1" applyFont="1" applyFill="1" applyBorder="1" applyAlignment="1">
      <alignment vertical="center" wrapText="1"/>
    </xf>
    <xf numFmtId="179" fontId="83" fillId="15" borderId="5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45" xfId="0" applyNumberFormat="1" applyFont="1" applyBorder="1" applyAlignment="1">
      <alignment horizontal="center"/>
    </xf>
    <xf numFmtId="1" fontId="3" fillId="0" borderId="46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38" xfId="0" applyNumberFormat="1" applyFont="1" applyBorder="1" applyAlignment="1">
      <alignment horizontal="center"/>
    </xf>
    <xf numFmtId="1" fontId="3" fillId="0" borderId="48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wrapText="1"/>
    </xf>
    <xf numFmtId="174" fontId="60" fillId="10" borderId="59" xfId="0" applyNumberFormat="1" applyFont="1" applyFill="1" applyBorder="1" applyAlignment="1">
      <alignment horizontal="center" vertical="center" wrapText="1"/>
    </xf>
    <xf numFmtId="0" fontId="60" fillId="10" borderId="60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wrapText="1"/>
    </xf>
    <xf numFmtId="0" fontId="41" fillId="0" borderId="47" xfId="0" applyFont="1" applyBorder="1" applyAlignment="1">
      <alignment horizont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38" xfId="0" applyFont="1" applyBorder="1" applyAlignment="1">
      <alignment horizontal="center" vertical="center" wrapText="1"/>
    </xf>
    <xf numFmtId="0" fontId="39" fillId="0" borderId="48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9" fillId="0" borderId="58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32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39" fillId="0" borderId="47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39" fillId="0" borderId="45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174" fontId="91" fillId="10" borderId="59" xfId="0" applyNumberFormat="1" applyFont="1" applyFill="1" applyBorder="1" applyAlignment="1">
      <alignment horizontal="center" vertical="center" wrapText="1"/>
    </xf>
    <xf numFmtId="0" fontId="91" fillId="10" borderId="60" xfId="0" applyFont="1" applyFill="1" applyBorder="1" applyAlignment="1">
      <alignment horizontal="center" vertical="center" wrapText="1"/>
    </xf>
    <xf numFmtId="0" fontId="66" fillId="0" borderId="0" xfId="0" applyFont="1" applyBorder="1" applyAlignment="1">
      <alignment horizontal="center" wrapText="1"/>
    </xf>
    <xf numFmtId="0" fontId="66" fillId="0" borderId="47" xfId="0" applyFont="1" applyBorder="1" applyAlignment="1">
      <alignment horizontal="center" wrapText="1"/>
    </xf>
    <xf numFmtId="0" fontId="71" fillId="0" borderId="1" xfId="0" applyFont="1" applyFill="1" applyBorder="1" applyAlignment="1">
      <alignment horizontal="center" vertical="center" wrapText="1"/>
    </xf>
    <xf numFmtId="0" fontId="71" fillId="0" borderId="3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4" fillId="0" borderId="1" xfId="0" applyFont="1" applyFill="1" applyBorder="1" applyAlignment="1">
      <alignment horizontal="center" vertical="center" wrapText="1"/>
    </xf>
    <xf numFmtId="174" fontId="73" fillId="7" borderId="59" xfId="0" applyNumberFormat="1" applyFont="1" applyFill="1" applyBorder="1" applyAlignment="1">
      <alignment horizontal="center" vertical="center" wrapText="1"/>
    </xf>
    <xf numFmtId="0" fontId="73" fillId="7" borderId="60" xfId="0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center" wrapText="1"/>
    </xf>
    <xf numFmtId="0" fontId="70" fillId="0" borderId="2" xfId="0" applyFont="1" applyFill="1" applyBorder="1" applyAlignment="1">
      <alignment horizontal="center" vertical="center"/>
    </xf>
    <xf numFmtId="0" fontId="73" fillId="0" borderId="2" xfId="0" applyFont="1" applyFill="1" applyBorder="1" applyAlignment="1">
      <alignment horizontal="center" vertical="center"/>
    </xf>
    <xf numFmtId="0" fontId="73" fillId="0" borderId="38" xfId="0" applyFont="1" applyFill="1" applyBorder="1" applyAlignment="1">
      <alignment horizontal="center" vertical="center"/>
    </xf>
    <xf numFmtId="0" fontId="71" fillId="0" borderId="38" xfId="0" applyFont="1" applyFill="1" applyBorder="1" applyAlignment="1">
      <alignment horizontal="center" vertical="center" wrapText="1"/>
    </xf>
    <xf numFmtId="0" fontId="71" fillId="0" borderId="48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0" fontId="71" fillId="0" borderId="58" xfId="0" applyFont="1" applyFill="1" applyBorder="1" applyAlignment="1">
      <alignment horizontal="center" vertical="center" wrapText="1"/>
    </xf>
    <xf numFmtId="0" fontId="71" fillId="0" borderId="0" xfId="0" applyFont="1" applyFill="1" applyBorder="1" applyAlignment="1">
      <alignment horizontal="center" vertical="center" wrapText="1"/>
    </xf>
    <xf numFmtId="0" fontId="71" fillId="0" borderId="32" xfId="0" applyFont="1" applyFill="1" applyBorder="1" applyAlignment="1">
      <alignment horizontal="center" vertical="center" wrapText="1"/>
    </xf>
    <xf numFmtId="0" fontId="71" fillId="0" borderId="37" xfId="0" applyFont="1" applyFill="1" applyBorder="1" applyAlignment="1">
      <alignment horizontal="center" vertical="center" wrapText="1"/>
    </xf>
    <xf numFmtId="0" fontId="71" fillId="0" borderId="47" xfId="0" applyFont="1" applyFill="1" applyBorder="1" applyAlignment="1">
      <alignment horizontal="center" vertical="center" wrapText="1"/>
    </xf>
    <xf numFmtId="0" fontId="71" fillId="0" borderId="22" xfId="0" applyFont="1" applyFill="1" applyBorder="1" applyAlignment="1">
      <alignment horizontal="center"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71" fillId="0" borderId="45" xfId="0" applyFont="1" applyFill="1" applyBorder="1"/>
    <xf numFmtId="0" fontId="71" fillId="0" borderId="23" xfId="0" applyFont="1" applyFill="1" applyBorder="1"/>
    <xf numFmtId="0" fontId="71" fillId="0" borderId="1" xfId="0" applyFont="1" applyFill="1" applyBorder="1" applyAlignment="1">
      <alignment horizontal="right" vertical="center" wrapText="1"/>
    </xf>
    <xf numFmtId="0" fontId="72" fillId="0" borderId="1" xfId="0" applyFont="1" applyFill="1" applyBorder="1" applyAlignment="1">
      <alignment horizontal="center" vertical="center" wrapText="1"/>
    </xf>
    <xf numFmtId="0" fontId="71" fillId="0" borderId="45" xfId="0" applyFont="1" applyFill="1" applyBorder="1" applyAlignment="1">
      <alignment horizontal="center" vertical="center" wrapText="1"/>
    </xf>
    <xf numFmtId="0" fontId="71" fillId="0" borderId="23" xfId="0" applyFont="1" applyFill="1" applyBorder="1" applyAlignment="1">
      <alignment horizontal="center" vertical="center" wrapText="1"/>
    </xf>
    <xf numFmtId="0" fontId="74" fillId="0" borderId="3" xfId="0" applyFont="1" applyFill="1" applyBorder="1" applyAlignment="1">
      <alignment horizontal="center" vertical="center" wrapText="1"/>
    </xf>
    <xf numFmtId="174" fontId="91" fillId="31" borderId="59" xfId="0" applyNumberFormat="1" applyFont="1" applyFill="1" applyBorder="1" applyAlignment="1">
      <alignment horizontal="center" vertical="center" wrapText="1"/>
    </xf>
    <xf numFmtId="0" fontId="91" fillId="31" borderId="60" xfId="0" applyFont="1" applyFill="1" applyBorder="1" applyAlignment="1">
      <alignment horizontal="center" vertical="center" wrapText="1"/>
    </xf>
    <xf numFmtId="0" fontId="70" fillId="0" borderId="2" xfId="0" applyFont="1" applyFill="1" applyBorder="1" applyAlignment="1">
      <alignment horizontal="center" vertical="center" wrapText="1"/>
    </xf>
    <xf numFmtId="0" fontId="73" fillId="0" borderId="2" xfId="0" applyFont="1" applyFill="1" applyBorder="1" applyAlignment="1">
      <alignment horizontal="center" vertical="center" wrapText="1"/>
    </xf>
    <xf numFmtId="0" fontId="73" fillId="0" borderId="38" xfId="0" applyFont="1" applyFill="1" applyBorder="1" applyAlignment="1">
      <alignment horizontal="center" vertical="center" wrapText="1"/>
    </xf>
    <xf numFmtId="0" fontId="71" fillId="0" borderId="64" xfId="0" applyFont="1" applyFill="1" applyBorder="1" applyAlignment="1">
      <alignment horizontal="center" vertical="center" wrapText="1"/>
    </xf>
    <xf numFmtId="0" fontId="71" fillId="0" borderId="65" xfId="0" applyFont="1" applyFill="1" applyBorder="1" applyAlignment="1">
      <alignment horizontal="center" vertical="center" wrapText="1"/>
    </xf>
    <xf numFmtId="0" fontId="71" fillId="0" borderId="66" xfId="0" applyFont="1" applyFill="1" applyBorder="1" applyAlignment="1">
      <alignment horizontal="center" vertical="center" wrapText="1"/>
    </xf>
    <xf numFmtId="0" fontId="95" fillId="0" borderId="23" xfId="0" applyFont="1" applyFill="1" applyBorder="1" applyAlignment="1">
      <alignment horizontal="center" vertical="center" wrapText="1"/>
    </xf>
    <xf numFmtId="0" fontId="95" fillId="0" borderId="24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wrapText="1"/>
    </xf>
    <xf numFmtId="0" fontId="8" fillId="7" borderId="0" xfId="0" applyFont="1" applyFill="1" applyBorder="1" applyAlignment="1">
      <alignment horizontal="center" wrapText="1"/>
    </xf>
    <xf numFmtId="0" fontId="3" fillId="7" borderId="52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9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wrapText="1"/>
    </xf>
    <xf numFmtId="0" fontId="3" fillId="7" borderId="21" xfId="0" applyFont="1" applyFill="1" applyBorder="1" applyAlignment="1">
      <alignment horizontal="center" wrapText="1"/>
    </xf>
    <xf numFmtId="0" fontId="3" fillId="7" borderId="5" xfId="0" applyFont="1" applyFill="1" applyBorder="1" applyAlignment="1">
      <alignment horizontal="center" wrapText="1"/>
    </xf>
    <xf numFmtId="0" fontId="3" fillId="7" borderId="53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 wrapText="1"/>
    </xf>
    <xf numFmtId="179" fontId="16" fillId="0" borderId="3" xfId="0" applyNumberFormat="1" applyFont="1" applyBorder="1" applyAlignment="1">
      <alignment horizontal="center" vertical="center" wrapText="1"/>
    </xf>
    <xf numFmtId="179" fontId="16" fillId="0" borderId="5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179" fontId="3" fillId="0" borderId="15" xfId="0" applyNumberFormat="1" applyFont="1" applyBorder="1" applyAlignment="1">
      <alignment horizontal="center" vertical="center" wrapText="1"/>
    </xf>
    <xf numFmtId="179" fontId="3" fillId="0" borderId="1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1" fillId="0" borderId="7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0" fillId="9" borderId="6" xfId="0" applyFont="1" applyFill="1" applyBorder="1" applyAlignment="1">
      <alignment horizontal="left" vertical="center" wrapText="1"/>
    </xf>
    <xf numFmtId="0" fontId="50" fillId="9" borderId="1" xfId="0" applyFont="1" applyFill="1" applyBorder="1" applyAlignment="1">
      <alignment horizontal="left" vertical="center" wrapText="1"/>
    </xf>
    <xf numFmtId="0" fontId="17" fillId="11" borderId="9" xfId="0" applyFont="1" applyFill="1" applyBorder="1" applyAlignment="1">
      <alignment horizontal="left"/>
    </xf>
    <xf numFmtId="0" fontId="17" fillId="11" borderId="56" xfId="0" applyFont="1" applyFill="1" applyBorder="1" applyAlignment="1">
      <alignment horizontal="left"/>
    </xf>
    <xf numFmtId="0" fontId="51" fillId="0" borderId="7" xfId="0" applyFont="1" applyFill="1" applyBorder="1" applyAlignment="1">
      <alignment horizontal="center" vertical="center" wrapText="1"/>
    </xf>
    <xf numFmtId="0" fontId="51" fillId="0" borderId="20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5" borderId="6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179" fontId="3" fillId="0" borderId="15" xfId="0" applyNumberFormat="1" applyFont="1" applyBorder="1" applyAlignment="1">
      <alignment horizontal="center" vertical="center"/>
    </xf>
    <xf numFmtId="179" fontId="3" fillId="0" borderId="55" xfId="0" applyNumberFormat="1" applyFont="1" applyBorder="1" applyAlignment="1">
      <alignment horizontal="center" vertical="center"/>
    </xf>
    <xf numFmtId="179" fontId="3" fillId="0" borderId="1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84" fontId="22" fillId="2" borderId="49" xfId="3" applyNumberFormat="1" applyFont="1" applyFill="1" applyBorder="1" applyAlignment="1">
      <alignment horizontal="center" vertical="center" wrapText="1"/>
    </xf>
    <xf numFmtId="184" fontId="22" fillId="2" borderId="51" xfId="3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2" fillId="2" borderId="57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184" fontId="22" fillId="0" borderId="34" xfId="3" applyNumberFormat="1" applyFont="1" applyFill="1" applyBorder="1" applyAlignment="1">
      <alignment horizontal="center" vertical="center" wrapText="1"/>
    </xf>
    <xf numFmtId="184" fontId="22" fillId="0" borderId="19" xfId="3" applyNumberFormat="1" applyFont="1" applyFill="1" applyBorder="1" applyAlignment="1">
      <alignment horizontal="center" vertical="center" wrapText="1"/>
    </xf>
    <xf numFmtId="184" fontId="22" fillId="12" borderId="57" xfId="3" applyNumberFormat="1" applyFont="1" applyFill="1" applyBorder="1" applyAlignment="1">
      <alignment horizontal="center" vertical="center" wrapText="1"/>
    </xf>
    <xf numFmtId="184" fontId="22" fillId="12" borderId="53" xfId="3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/>
    <cellStyle name="Normal_Book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K92"/>
  <sheetViews>
    <sheetView zoomScaleNormal="100" zoomScaleSheetLayoutView="100" workbookViewId="0">
      <selection activeCell="K17" sqref="K17"/>
    </sheetView>
  </sheetViews>
  <sheetFormatPr defaultColWidth="9.109375" defaultRowHeight="13.2"/>
  <cols>
    <col min="1" max="1" width="20" style="1" customWidth="1"/>
    <col min="2" max="2" width="49.6640625" style="1" customWidth="1"/>
    <col min="3" max="3" width="12.33203125" style="1" bestFit="1" customWidth="1"/>
    <col min="4" max="4" width="12.6640625" style="1" customWidth="1"/>
    <col min="5" max="5" width="12.5546875" style="1" customWidth="1"/>
    <col min="6" max="6" width="11.44140625" style="1" customWidth="1"/>
    <col min="7" max="7" width="12.109375" style="1" customWidth="1"/>
    <col min="8" max="8" width="11.44140625" style="1" customWidth="1"/>
    <col min="9" max="9" width="9.6640625" style="1" bestFit="1" customWidth="1"/>
    <col min="10" max="10" width="10" style="1" bestFit="1" customWidth="1"/>
    <col min="11" max="11" width="9.6640625" style="1" bestFit="1" customWidth="1"/>
    <col min="12" max="16384" width="9.109375" style="1"/>
  </cols>
  <sheetData>
    <row r="1" spans="1:11" ht="18">
      <c r="A1" s="1218"/>
      <c r="B1" s="1218"/>
      <c r="C1" s="1218"/>
      <c r="D1" s="1218"/>
      <c r="E1" s="1218"/>
      <c r="F1" s="1219"/>
      <c r="G1" s="1219"/>
      <c r="H1" s="1219"/>
      <c r="I1" s="1219"/>
      <c r="J1" s="1219"/>
      <c r="K1" s="1219"/>
    </row>
    <row r="2" spans="1:11" ht="56.25" customHeight="1">
      <c r="A2" s="1220"/>
      <c r="B2" s="1220"/>
      <c r="C2" s="1220"/>
      <c r="D2" s="1220"/>
      <c r="E2" s="1220"/>
      <c r="F2" s="1221"/>
      <c r="G2" s="1221"/>
      <c r="H2" s="1221"/>
      <c r="I2" s="1221"/>
      <c r="J2" s="1221"/>
      <c r="K2" s="1221"/>
    </row>
    <row r="3" spans="1:11" ht="14.25" customHeight="1" thickBot="1">
      <c r="A3" s="146"/>
      <c r="B3" s="146" t="s">
        <v>19</v>
      </c>
      <c r="C3" s="1226">
        <v>900005017018</v>
      </c>
      <c r="D3" s="1227"/>
      <c r="E3" s="1228"/>
      <c r="F3" s="1225">
        <v>900005017026</v>
      </c>
      <c r="G3" s="1225"/>
      <c r="H3" s="1225"/>
      <c r="I3" s="1225">
        <v>900005017042</v>
      </c>
      <c r="J3" s="1225"/>
      <c r="K3" s="1225"/>
    </row>
    <row r="4" spans="1:11" ht="45" customHeight="1">
      <c r="A4" s="167"/>
      <c r="B4" s="168" t="s">
        <v>42</v>
      </c>
      <c r="C4" s="1229" t="s">
        <v>41</v>
      </c>
      <c r="D4" s="1230"/>
      <c r="E4" s="1231"/>
      <c r="F4" s="1232" t="s">
        <v>43</v>
      </c>
      <c r="G4" s="1233"/>
      <c r="H4" s="1234"/>
      <c r="I4" s="1232" t="s">
        <v>44</v>
      </c>
      <c r="J4" s="1233"/>
      <c r="K4" s="1234"/>
    </row>
    <row r="5" spans="1:11" ht="30" customHeight="1">
      <c r="A5" s="169" t="s">
        <v>40</v>
      </c>
      <c r="B5" s="2" t="s">
        <v>20</v>
      </c>
      <c r="C5" s="3">
        <v>2012</v>
      </c>
      <c r="D5" s="3">
        <v>2013</v>
      </c>
      <c r="E5" s="170">
        <v>2014</v>
      </c>
      <c r="F5" s="3">
        <v>2012</v>
      </c>
      <c r="G5" s="3">
        <v>2013</v>
      </c>
      <c r="H5" s="3">
        <v>2014</v>
      </c>
      <c r="I5" s="3">
        <v>2012</v>
      </c>
      <c r="J5" s="3">
        <v>2013</v>
      </c>
      <c r="K5" s="3">
        <v>2014</v>
      </c>
    </row>
    <row r="6" spans="1:11" ht="15">
      <c r="A6" s="169" t="s">
        <v>10</v>
      </c>
      <c r="B6" s="2" t="s">
        <v>21</v>
      </c>
      <c r="C6" s="2"/>
      <c r="D6" s="13"/>
      <c r="E6" s="171"/>
      <c r="F6" s="14">
        <v>117.3</v>
      </c>
      <c r="G6" s="14">
        <v>33</v>
      </c>
      <c r="H6" s="14">
        <v>8.2200000000000006</v>
      </c>
      <c r="I6" s="4">
        <v>10037.799999999999</v>
      </c>
      <c r="J6" s="4">
        <v>6084.2</v>
      </c>
      <c r="K6" s="4">
        <v>825.88099999999997</v>
      </c>
    </row>
    <row r="7" spans="1:11" ht="15">
      <c r="A7" s="169" t="s">
        <v>12</v>
      </c>
      <c r="B7" s="2" t="s">
        <v>22</v>
      </c>
      <c r="C7" s="4">
        <v>5</v>
      </c>
      <c r="D7" s="13"/>
      <c r="E7" s="171"/>
      <c r="F7" s="14">
        <v>5418</v>
      </c>
      <c r="G7" s="14">
        <v>8893</v>
      </c>
      <c r="H7" s="14">
        <v>6706.45</v>
      </c>
      <c r="I7" s="4">
        <v>175.8</v>
      </c>
      <c r="J7" s="4">
        <v>112.2</v>
      </c>
      <c r="K7" s="4">
        <v>88.1</v>
      </c>
    </row>
    <row r="8" spans="1:11" ht="15">
      <c r="A8" s="169" t="s">
        <v>9</v>
      </c>
      <c r="B8" s="2" t="s">
        <v>23</v>
      </c>
      <c r="C8" s="2"/>
      <c r="D8" s="13"/>
      <c r="E8" s="171"/>
      <c r="F8" s="14"/>
      <c r="G8" s="14"/>
      <c r="H8" s="14"/>
      <c r="I8" s="4">
        <v>1388.2</v>
      </c>
      <c r="J8" s="4">
        <v>1523.8</v>
      </c>
      <c r="K8" s="4">
        <v>1643.2860000000001</v>
      </c>
    </row>
    <row r="9" spans="1:11" ht="15">
      <c r="A9" s="169" t="s">
        <v>13</v>
      </c>
      <c r="B9" s="2" t="s">
        <v>24</v>
      </c>
      <c r="C9" s="2"/>
      <c r="D9" s="13"/>
      <c r="E9" s="171"/>
      <c r="F9" s="14">
        <v>6264.6</v>
      </c>
      <c r="G9" s="14">
        <v>4808.1000000000004</v>
      </c>
      <c r="H9" s="14">
        <v>4663</v>
      </c>
      <c r="I9" s="4">
        <v>154.6</v>
      </c>
      <c r="J9" s="4">
        <v>89.8</v>
      </c>
      <c r="K9" s="4">
        <v>81</v>
      </c>
    </row>
    <row r="10" spans="1:11" ht="44.25" customHeight="1">
      <c r="A10" s="169" t="s">
        <v>0</v>
      </c>
      <c r="B10" s="2" t="s">
        <v>25</v>
      </c>
      <c r="C10" s="2"/>
      <c r="D10" s="13"/>
      <c r="E10" s="171"/>
      <c r="F10" s="14"/>
      <c r="G10" s="14"/>
      <c r="H10" s="14"/>
      <c r="I10" s="4">
        <v>7172.2</v>
      </c>
      <c r="J10" s="4">
        <v>6093.7</v>
      </c>
      <c r="K10" s="4">
        <v>6307.6480000000001</v>
      </c>
    </row>
    <row r="11" spans="1:11" ht="15">
      <c r="A11" s="169" t="s">
        <v>4</v>
      </c>
      <c r="B11" s="2" t="s">
        <v>26</v>
      </c>
      <c r="C11" s="2"/>
      <c r="D11" s="13"/>
      <c r="E11" s="171"/>
      <c r="F11" s="14"/>
      <c r="G11" s="14"/>
      <c r="H11" s="14"/>
      <c r="I11" s="4">
        <v>2000</v>
      </c>
      <c r="J11" s="4">
        <v>910</v>
      </c>
      <c r="K11" s="4">
        <v>1588.5</v>
      </c>
    </row>
    <row r="12" spans="1:11" ht="15">
      <c r="A12" s="169" t="s">
        <v>14</v>
      </c>
      <c r="B12" s="2" t="s">
        <v>27</v>
      </c>
      <c r="C12" s="2"/>
      <c r="D12" s="13"/>
      <c r="E12" s="171"/>
      <c r="F12" s="14"/>
      <c r="G12" s="14"/>
      <c r="H12" s="14"/>
      <c r="I12" s="4"/>
      <c r="J12" s="4"/>
      <c r="K12" s="4">
        <v>98.168999999999997</v>
      </c>
    </row>
    <row r="13" spans="1:11" ht="15">
      <c r="A13" s="169" t="s">
        <v>8</v>
      </c>
      <c r="B13" s="2" t="s">
        <v>28</v>
      </c>
      <c r="C13" s="2"/>
      <c r="D13" s="13"/>
      <c r="E13" s="171"/>
      <c r="F13" s="14"/>
      <c r="G13" s="14"/>
      <c r="H13" s="14"/>
      <c r="I13" s="4"/>
      <c r="J13" s="4"/>
      <c r="K13" s="4"/>
    </row>
    <row r="14" spans="1:11" ht="79.5" customHeight="1">
      <c r="A14" s="169" t="s">
        <v>5</v>
      </c>
      <c r="B14" s="2" t="s">
        <v>29</v>
      </c>
      <c r="C14" s="4"/>
      <c r="D14" s="4">
        <v>240</v>
      </c>
      <c r="E14" s="172">
        <v>93.2</v>
      </c>
      <c r="F14" s="14">
        <v>9600</v>
      </c>
      <c r="G14" s="14">
        <v>9410</v>
      </c>
      <c r="H14" s="14">
        <v>8245</v>
      </c>
      <c r="I14" s="4"/>
      <c r="J14" s="4">
        <v>1470</v>
      </c>
      <c r="K14" s="4">
        <v>460.8</v>
      </c>
    </row>
    <row r="15" spans="1:11" ht="15">
      <c r="A15" s="169" t="s">
        <v>1</v>
      </c>
      <c r="B15" s="2" t="s">
        <v>30</v>
      </c>
      <c r="C15" s="4">
        <v>150</v>
      </c>
      <c r="D15" s="4">
        <v>139</v>
      </c>
      <c r="E15" s="172">
        <v>85</v>
      </c>
      <c r="F15" s="14">
        <v>82259.7</v>
      </c>
      <c r="G15" s="14">
        <v>124858</v>
      </c>
      <c r="H15" s="14">
        <v>98760</v>
      </c>
      <c r="I15" s="4">
        <v>3320</v>
      </c>
      <c r="J15" s="4">
        <v>4395.8</v>
      </c>
      <c r="K15" s="4">
        <v>3475</v>
      </c>
    </row>
    <row r="16" spans="1:11" ht="15">
      <c r="A16" s="169" t="s">
        <v>3</v>
      </c>
      <c r="B16" s="2" t="s">
        <v>31</v>
      </c>
      <c r="C16" s="4">
        <v>274.89999999999998</v>
      </c>
      <c r="D16" s="4">
        <v>110.2</v>
      </c>
      <c r="E16" s="172">
        <v>282.733</v>
      </c>
      <c r="F16" s="14">
        <v>1340.1</v>
      </c>
      <c r="G16" s="14"/>
      <c r="H16" s="14"/>
      <c r="I16" s="4">
        <v>35.799999999999997</v>
      </c>
      <c r="J16" s="4">
        <v>14</v>
      </c>
      <c r="K16" s="4">
        <v>35.393999999999998</v>
      </c>
    </row>
    <row r="17" spans="1:11" ht="15">
      <c r="A17" s="169" t="s">
        <v>11</v>
      </c>
      <c r="B17" s="2" t="s">
        <v>32</v>
      </c>
      <c r="C17" s="4">
        <v>1747.2</v>
      </c>
      <c r="D17" s="4">
        <v>1196.5999999999999</v>
      </c>
      <c r="E17" s="172">
        <v>1110.25</v>
      </c>
      <c r="F17" s="14"/>
      <c r="G17" s="14"/>
      <c r="H17" s="14"/>
      <c r="I17" s="4">
        <v>81259.7</v>
      </c>
      <c r="J17" s="4">
        <v>104141.8</v>
      </c>
      <c r="K17" s="4">
        <v>84014.182400000005</v>
      </c>
    </row>
    <row r="18" spans="1:11" ht="15">
      <c r="A18" s="169" t="s">
        <v>2</v>
      </c>
      <c r="B18" s="2" t="s">
        <v>33</v>
      </c>
      <c r="C18" s="4">
        <v>19935.2</v>
      </c>
      <c r="D18" s="4">
        <v>20635.248</v>
      </c>
      <c r="E18" s="172">
        <v>28646.312000000002</v>
      </c>
      <c r="F18" s="14">
        <v>60322</v>
      </c>
      <c r="G18" s="14"/>
      <c r="H18" s="14"/>
      <c r="I18" s="4">
        <v>203.9</v>
      </c>
      <c r="J18" s="4">
        <v>185.06399999999999</v>
      </c>
      <c r="K18" s="4">
        <v>216.84</v>
      </c>
    </row>
    <row r="19" spans="1:11" ht="15">
      <c r="A19" s="169" t="s">
        <v>7</v>
      </c>
      <c r="B19" s="2" t="s">
        <v>34</v>
      </c>
      <c r="C19" s="4">
        <v>1115.5</v>
      </c>
      <c r="D19" s="4">
        <v>1115.4000000000001</v>
      </c>
      <c r="E19" s="172">
        <v>1115.4000000000001</v>
      </c>
      <c r="F19" s="14">
        <v>191141</v>
      </c>
      <c r="G19" s="14"/>
      <c r="H19" s="14"/>
      <c r="I19" s="4">
        <v>159.69999999999999</v>
      </c>
      <c r="J19" s="4">
        <v>81.521000000000001</v>
      </c>
      <c r="K19" s="4">
        <v>72.31</v>
      </c>
    </row>
    <row r="20" spans="1:11" ht="15">
      <c r="A20" s="169" t="s">
        <v>6</v>
      </c>
      <c r="B20" s="2" t="s">
        <v>35</v>
      </c>
      <c r="C20" s="4">
        <v>3926</v>
      </c>
      <c r="D20" s="4">
        <v>1915.4590000000001</v>
      </c>
      <c r="E20" s="172">
        <v>9747.7219999999998</v>
      </c>
      <c r="F20" s="14"/>
      <c r="G20" s="14"/>
      <c r="H20" s="14"/>
      <c r="I20" s="4">
        <v>227</v>
      </c>
      <c r="J20" s="4">
        <v>160.05199999999999</v>
      </c>
      <c r="K20" s="4">
        <v>432.18900000000002</v>
      </c>
    </row>
    <row r="21" spans="1:11" ht="15">
      <c r="A21" s="169" t="s">
        <v>15</v>
      </c>
      <c r="B21" s="2" t="s">
        <v>36</v>
      </c>
      <c r="C21" s="4">
        <v>6358</v>
      </c>
      <c r="D21" s="4">
        <v>2171.5</v>
      </c>
      <c r="E21" s="172">
        <v>2539</v>
      </c>
      <c r="F21" s="14">
        <v>312554</v>
      </c>
      <c r="G21" s="14">
        <v>75449.687000000005</v>
      </c>
      <c r="H21" s="14"/>
      <c r="I21" s="4">
        <v>2451.6</v>
      </c>
      <c r="J21" s="4">
        <v>1360.6</v>
      </c>
      <c r="K21" s="4">
        <v>2086</v>
      </c>
    </row>
    <row r="22" spans="1:11" ht="15">
      <c r="A22" s="169" t="s">
        <v>16</v>
      </c>
      <c r="B22" s="2" t="s">
        <v>37</v>
      </c>
      <c r="C22" s="4"/>
      <c r="D22" s="4"/>
      <c r="E22" s="172"/>
      <c r="F22" s="4"/>
      <c r="G22" s="4"/>
      <c r="H22" s="13"/>
      <c r="I22" s="4"/>
      <c r="J22" s="4"/>
      <c r="K22" s="4"/>
    </row>
    <row r="23" spans="1:11" ht="15">
      <c r="A23" s="169" t="s">
        <v>17</v>
      </c>
      <c r="B23" s="2" t="s">
        <v>38</v>
      </c>
      <c r="C23" s="4">
        <v>13493.5</v>
      </c>
      <c r="D23" s="4">
        <v>11422.9</v>
      </c>
      <c r="E23" s="172">
        <v>11574.5278</v>
      </c>
      <c r="F23" s="4"/>
      <c r="G23" s="4"/>
      <c r="H23" s="13"/>
      <c r="I23" s="4">
        <v>41.2</v>
      </c>
      <c r="J23" s="4">
        <v>77</v>
      </c>
      <c r="K23" s="4">
        <v>31.134399999999999</v>
      </c>
    </row>
    <row r="24" spans="1:11" ht="15">
      <c r="A24" s="169"/>
      <c r="B24" s="2" t="s">
        <v>39</v>
      </c>
      <c r="C24" s="4">
        <f t="shared" ref="C24:K24" si="0">SUM(C6:C23)</f>
        <v>47005.3</v>
      </c>
      <c r="D24" s="4">
        <f t="shared" si="0"/>
        <v>38946.307000000001</v>
      </c>
      <c r="E24" s="172">
        <f t="shared" si="0"/>
        <v>55194.144800000009</v>
      </c>
      <c r="F24" s="4">
        <f t="shared" si="0"/>
        <v>669016.69999999995</v>
      </c>
      <c r="G24" s="4">
        <f t="shared" si="0"/>
        <v>223451.78700000001</v>
      </c>
      <c r="H24" s="4">
        <f t="shared" si="0"/>
        <v>118382.67</v>
      </c>
      <c r="I24" s="4">
        <f t="shared" si="0"/>
        <v>108627.49999999999</v>
      </c>
      <c r="J24" s="4">
        <f t="shared" si="0"/>
        <v>126699.537</v>
      </c>
      <c r="K24" s="4">
        <f t="shared" si="0"/>
        <v>101456.4338</v>
      </c>
    </row>
    <row r="25" spans="1:11" ht="15">
      <c r="A25" s="173"/>
      <c r="B25" s="112"/>
      <c r="C25" s="112"/>
      <c r="D25" s="112"/>
      <c r="E25" s="174"/>
      <c r="F25" s="5"/>
      <c r="G25" s="5"/>
      <c r="H25" s="5"/>
      <c r="I25" s="5"/>
    </row>
    <row r="26" spans="1:11" ht="15">
      <c r="A26" s="169"/>
      <c r="B26" s="2" t="s">
        <v>19</v>
      </c>
      <c r="C26" s="1222">
        <v>900005017075</v>
      </c>
      <c r="D26" s="1223"/>
      <c r="E26" s="1224"/>
      <c r="F26" s="1225">
        <v>900005017067</v>
      </c>
      <c r="G26" s="1225"/>
      <c r="H26" s="1225"/>
      <c r="I26" s="1225">
        <v>900005170940</v>
      </c>
      <c r="J26" s="1225"/>
      <c r="K26" s="1225"/>
    </row>
    <row r="27" spans="1:11" ht="53.25" customHeight="1">
      <c r="A27" s="169"/>
      <c r="B27" s="6" t="s">
        <v>42</v>
      </c>
      <c r="C27" s="1232" t="s">
        <v>46</v>
      </c>
      <c r="D27" s="1233"/>
      <c r="E27" s="1238"/>
      <c r="F27" s="1232" t="s">
        <v>45</v>
      </c>
      <c r="G27" s="1233"/>
      <c r="H27" s="1234"/>
      <c r="I27" s="1232" t="s">
        <v>47</v>
      </c>
      <c r="J27" s="1233"/>
      <c r="K27" s="1234"/>
    </row>
    <row r="28" spans="1:11" ht="15">
      <c r="A28" s="169" t="s">
        <v>40</v>
      </c>
      <c r="B28" s="2" t="s">
        <v>20</v>
      </c>
      <c r="C28" s="3">
        <v>2012</v>
      </c>
      <c r="D28" s="3">
        <v>2013</v>
      </c>
      <c r="E28" s="170">
        <v>2014</v>
      </c>
      <c r="F28" s="3">
        <v>2012</v>
      </c>
      <c r="G28" s="3">
        <v>2013</v>
      </c>
      <c r="H28" s="3">
        <v>2014</v>
      </c>
      <c r="I28" s="3">
        <v>2012</v>
      </c>
      <c r="J28" s="3">
        <v>2013</v>
      </c>
      <c r="K28" s="3">
        <v>2014</v>
      </c>
    </row>
    <row r="29" spans="1:11" ht="15">
      <c r="A29" s="169" t="s">
        <v>10</v>
      </c>
      <c r="B29" s="2" t="s">
        <v>21</v>
      </c>
      <c r="C29" s="4">
        <v>12041.1</v>
      </c>
      <c r="D29" s="4">
        <v>12157.4</v>
      </c>
      <c r="E29" s="172">
        <v>15000</v>
      </c>
      <c r="F29" s="4">
        <v>403.7</v>
      </c>
      <c r="G29" s="4">
        <v>330.72</v>
      </c>
      <c r="H29" s="4">
        <v>484.96899999999999</v>
      </c>
      <c r="I29" s="4">
        <v>176</v>
      </c>
      <c r="J29" s="4">
        <v>180</v>
      </c>
      <c r="K29" s="4">
        <v>180.75</v>
      </c>
    </row>
    <row r="30" spans="1:11" ht="46.5" customHeight="1">
      <c r="A30" s="169" t="s">
        <v>12</v>
      </c>
      <c r="B30" s="2" t="s">
        <v>22</v>
      </c>
      <c r="C30" s="4">
        <v>15.3</v>
      </c>
      <c r="D30" s="4">
        <v>10.7</v>
      </c>
      <c r="E30" s="172">
        <v>15.76</v>
      </c>
      <c r="F30" s="4">
        <v>11.6</v>
      </c>
      <c r="G30" s="4">
        <v>11.5</v>
      </c>
      <c r="H30" s="4">
        <v>11.446999999999999</v>
      </c>
      <c r="I30" s="4">
        <v>4</v>
      </c>
      <c r="J30" s="4"/>
      <c r="K30" s="4">
        <v>5.75</v>
      </c>
    </row>
    <row r="31" spans="1:11" ht="31.5" customHeight="1">
      <c r="A31" s="169" t="s">
        <v>9</v>
      </c>
      <c r="B31" s="2" t="s">
        <v>23</v>
      </c>
      <c r="C31" s="4">
        <v>5184</v>
      </c>
      <c r="D31" s="4">
        <v>6290.4</v>
      </c>
      <c r="E31" s="172">
        <v>5913.6</v>
      </c>
      <c r="F31" s="4">
        <v>91.5</v>
      </c>
      <c r="G31" s="4">
        <v>147.1</v>
      </c>
      <c r="H31" s="4">
        <v>227.001</v>
      </c>
      <c r="I31" s="4">
        <v>271</v>
      </c>
      <c r="J31" s="4">
        <v>279</v>
      </c>
      <c r="K31" s="4">
        <v>277.125</v>
      </c>
    </row>
    <row r="32" spans="1:11" ht="15">
      <c r="A32" s="169" t="s">
        <v>13</v>
      </c>
      <c r="B32" s="2" t="s">
        <v>24</v>
      </c>
      <c r="C32" s="4">
        <v>3.7</v>
      </c>
      <c r="D32" s="4">
        <v>0.9</v>
      </c>
      <c r="E32" s="172">
        <v>17.2</v>
      </c>
      <c r="F32" s="4"/>
      <c r="G32" s="4"/>
      <c r="H32" s="4"/>
      <c r="I32" s="4"/>
      <c r="J32" s="4">
        <v>65.5</v>
      </c>
      <c r="K32" s="4"/>
    </row>
    <row r="33" spans="1:11" ht="15">
      <c r="A33" s="169" t="s">
        <v>0</v>
      </c>
      <c r="B33" s="2" t="s">
        <v>25</v>
      </c>
      <c r="C33" s="4">
        <v>14.7</v>
      </c>
      <c r="D33" s="4">
        <v>23.3</v>
      </c>
      <c r="E33" s="172">
        <v>19.446999999999999</v>
      </c>
      <c r="F33" s="4">
        <v>73.7</v>
      </c>
      <c r="G33" s="4">
        <v>83.5</v>
      </c>
      <c r="H33" s="4">
        <v>102.087</v>
      </c>
      <c r="I33" s="4">
        <v>202</v>
      </c>
      <c r="J33" s="4">
        <v>210.75</v>
      </c>
      <c r="K33" s="4">
        <v>188</v>
      </c>
    </row>
    <row r="34" spans="1:11" ht="15">
      <c r="A34" s="169" t="s">
        <v>4</v>
      </c>
      <c r="B34" s="2" t="s">
        <v>26</v>
      </c>
      <c r="C34" s="4"/>
      <c r="D34" s="4"/>
      <c r="E34" s="172"/>
      <c r="F34" s="4"/>
      <c r="G34" s="4"/>
      <c r="H34" s="4"/>
      <c r="I34" s="4"/>
      <c r="J34" s="4">
        <v>90.75</v>
      </c>
      <c r="K34" s="4">
        <v>97.5</v>
      </c>
    </row>
    <row r="35" spans="1:11" ht="45.75" customHeight="1">
      <c r="A35" s="169" t="s">
        <v>14</v>
      </c>
      <c r="B35" s="2" t="s">
        <v>27</v>
      </c>
      <c r="C35" s="4"/>
      <c r="D35" s="4"/>
      <c r="E35" s="172"/>
      <c r="F35" s="4"/>
      <c r="G35" s="4"/>
      <c r="H35" s="4"/>
      <c r="I35" s="4"/>
      <c r="J35" s="4">
        <v>0.375</v>
      </c>
      <c r="K35" s="4">
        <v>15</v>
      </c>
    </row>
    <row r="36" spans="1:11" ht="24.75" customHeight="1">
      <c r="A36" s="169" t="s">
        <v>8</v>
      </c>
      <c r="B36" s="2" t="s">
        <v>28</v>
      </c>
      <c r="C36" s="4"/>
      <c r="D36" s="4"/>
      <c r="E36" s="172"/>
      <c r="F36" s="4"/>
      <c r="G36" s="4"/>
      <c r="H36" s="4"/>
      <c r="I36" s="4"/>
      <c r="J36" s="4"/>
      <c r="K36" s="4"/>
    </row>
    <row r="37" spans="1:11" ht="15">
      <c r="A37" s="169" t="s">
        <v>5</v>
      </c>
      <c r="B37" s="2" t="s">
        <v>29</v>
      </c>
      <c r="C37" s="4"/>
      <c r="D37" s="4"/>
      <c r="E37" s="172"/>
      <c r="F37" s="4"/>
      <c r="G37" s="4"/>
      <c r="H37" s="4"/>
      <c r="I37" s="4">
        <v>319.39999999999998</v>
      </c>
      <c r="J37" s="4">
        <v>282.625</v>
      </c>
      <c r="K37" s="4">
        <v>158</v>
      </c>
    </row>
    <row r="38" spans="1:11" ht="20.25" customHeight="1">
      <c r="A38" s="169" t="s">
        <v>1</v>
      </c>
      <c r="B38" s="2" t="s">
        <v>30</v>
      </c>
      <c r="C38" s="4"/>
      <c r="D38" s="4"/>
      <c r="E38" s="172"/>
      <c r="F38" s="4">
        <v>114.3</v>
      </c>
      <c r="G38" s="4">
        <v>105</v>
      </c>
      <c r="H38" s="4">
        <v>98</v>
      </c>
      <c r="I38" s="4">
        <v>588.79999999999995</v>
      </c>
      <c r="J38" s="4">
        <v>593.375</v>
      </c>
      <c r="K38" s="4">
        <v>600.5</v>
      </c>
    </row>
    <row r="39" spans="1:11" ht="28.5" customHeight="1">
      <c r="A39" s="169" t="s">
        <v>3</v>
      </c>
      <c r="B39" s="2" t="s">
        <v>31</v>
      </c>
      <c r="C39" s="4"/>
      <c r="D39" s="4"/>
      <c r="E39" s="172"/>
      <c r="F39" s="4">
        <v>3744.5</v>
      </c>
      <c r="G39" s="4">
        <v>1497.8</v>
      </c>
      <c r="H39" s="4">
        <v>3744.2750000000001</v>
      </c>
      <c r="I39" s="4">
        <v>317.8</v>
      </c>
      <c r="J39" s="4">
        <v>195</v>
      </c>
      <c r="K39" s="4">
        <v>336</v>
      </c>
    </row>
    <row r="40" spans="1:11" ht="20.25" customHeight="1">
      <c r="A40" s="169" t="s">
        <v>11</v>
      </c>
      <c r="B40" s="2" t="s">
        <v>32</v>
      </c>
      <c r="C40" s="4"/>
      <c r="D40" s="4"/>
      <c r="E40" s="172"/>
      <c r="F40" s="4">
        <v>2318.6999999999998</v>
      </c>
      <c r="G40" s="4">
        <v>1217.0999999999999</v>
      </c>
      <c r="H40" s="4">
        <v>1979.2322999999999</v>
      </c>
      <c r="I40" s="4">
        <v>335.5</v>
      </c>
      <c r="J40" s="4">
        <v>310.125</v>
      </c>
      <c r="K40" s="4">
        <v>286.375</v>
      </c>
    </row>
    <row r="41" spans="1:11" ht="15">
      <c r="A41" s="169" t="s">
        <v>2</v>
      </c>
      <c r="B41" s="2" t="s">
        <v>33</v>
      </c>
      <c r="C41" s="4">
        <v>226.9</v>
      </c>
      <c r="D41" s="4">
        <v>3400.85</v>
      </c>
      <c r="E41" s="172">
        <v>1713.35</v>
      </c>
      <c r="F41" s="4">
        <v>22099.599999999999</v>
      </c>
      <c r="G41" s="4">
        <v>23383.363000000001</v>
      </c>
      <c r="H41" s="4">
        <v>13645.062</v>
      </c>
      <c r="I41" s="4">
        <v>2356.6</v>
      </c>
      <c r="J41" s="4">
        <v>1566.75</v>
      </c>
      <c r="K41" s="4">
        <v>1595.75</v>
      </c>
    </row>
    <row r="42" spans="1:11" ht="15">
      <c r="A42" s="169" t="s">
        <v>7</v>
      </c>
      <c r="B42" s="2" t="s">
        <v>34</v>
      </c>
      <c r="C42" s="4">
        <v>37.9</v>
      </c>
      <c r="D42" s="4">
        <v>32.15</v>
      </c>
      <c r="E42" s="172">
        <v>256.38299999999998</v>
      </c>
      <c r="F42" s="4">
        <v>2114.6999999999998</v>
      </c>
      <c r="G42" s="4">
        <v>3021.3510000000001</v>
      </c>
      <c r="H42" s="4">
        <v>6209.9530000000004</v>
      </c>
      <c r="I42" s="4">
        <v>634.29999999999995</v>
      </c>
      <c r="J42" s="4">
        <v>582</v>
      </c>
      <c r="K42" s="4">
        <v>346.5</v>
      </c>
    </row>
    <row r="43" spans="1:11" ht="15">
      <c r="A43" s="169" t="s">
        <v>6</v>
      </c>
      <c r="B43" s="2" t="s">
        <v>35</v>
      </c>
      <c r="C43" s="4"/>
      <c r="D43" s="4"/>
      <c r="E43" s="172"/>
      <c r="F43" s="4">
        <v>1655</v>
      </c>
      <c r="G43" s="4">
        <v>1230.6420000000001</v>
      </c>
      <c r="H43" s="4">
        <v>3202.79</v>
      </c>
      <c r="I43" s="4">
        <v>273.3</v>
      </c>
      <c r="J43" s="4">
        <v>370.25</v>
      </c>
      <c r="K43" s="4">
        <v>409.25</v>
      </c>
    </row>
    <row r="44" spans="1:11" ht="15">
      <c r="A44" s="169" t="s">
        <v>15</v>
      </c>
      <c r="B44" s="2" t="s">
        <v>36</v>
      </c>
      <c r="C44" s="4"/>
      <c r="D44" s="4"/>
      <c r="E44" s="172"/>
      <c r="F44" s="4">
        <v>3080.4</v>
      </c>
      <c r="G44" s="4">
        <v>1693</v>
      </c>
      <c r="H44" s="4">
        <v>2125</v>
      </c>
      <c r="I44" s="4">
        <v>203.9</v>
      </c>
      <c r="J44" s="4"/>
      <c r="K44" s="4">
        <v>176.75</v>
      </c>
    </row>
    <row r="45" spans="1:11" ht="28.5" customHeight="1">
      <c r="A45" s="169" t="s">
        <v>16</v>
      </c>
      <c r="B45" s="2" t="s">
        <v>37</v>
      </c>
      <c r="C45" s="4"/>
      <c r="D45" s="4"/>
      <c r="E45" s="172"/>
      <c r="F45" s="4"/>
      <c r="G45" s="4"/>
      <c r="H45" s="4"/>
      <c r="I45" s="4">
        <v>133</v>
      </c>
      <c r="J45" s="4">
        <v>23.25</v>
      </c>
      <c r="K45" s="4">
        <v>45</v>
      </c>
    </row>
    <row r="46" spans="1:11" ht="15">
      <c r="A46" s="169" t="s">
        <v>17</v>
      </c>
      <c r="B46" s="2" t="s">
        <v>38</v>
      </c>
      <c r="C46" s="4">
        <v>41.8</v>
      </c>
      <c r="D46" s="4">
        <v>70.430000000000007</v>
      </c>
      <c r="E46" s="172">
        <v>123.44589999999999</v>
      </c>
      <c r="F46" s="4">
        <v>2641.7</v>
      </c>
      <c r="G46" s="4">
        <v>1992.6</v>
      </c>
      <c r="H46" s="4">
        <v>1635.0867000000001</v>
      </c>
      <c r="I46" s="4">
        <v>644.5</v>
      </c>
      <c r="J46" s="4"/>
      <c r="K46" s="4"/>
    </row>
    <row r="47" spans="1:11" ht="15">
      <c r="A47" s="169"/>
      <c r="B47" s="2" t="s">
        <v>39</v>
      </c>
      <c r="C47" s="4">
        <f t="shared" ref="C47:K47" si="1">SUM(C29:C46)</f>
        <v>17565.400000000005</v>
      </c>
      <c r="D47" s="4">
        <f t="shared" si="1"/>
        <v>21986.13</v>
      </c>
      <c r="E47" s="172">
        <f t="shared" si="1"/>
        <v>23059.1859</v>
      </c>
      <c r="F47" s="4">
        <f t="shared" si="1"/>
        <v>38349.399999999994</v>
      </c>
      <c r="G47" s="4">
        <f t="shared" si="1"/>
        <v>34713.675999999999</v>
      </c>
      <c r="H47" s="4">
        <f t="shared" si="1"/>
        <v>33464.903000000006</v>
      </c>
      <c r="I47" s="4">
        <f t="shared" si="1"/>
        <v>6460.1</v>
      </c>
      <c r="J47" s="4">
        <f t="shared" si="1"/>
        <v>4749.75</v>
      </c>
      <c r="K47" s="4">
        <f t="shared" si="1"/>
        <v>4718.25</v>
      </c>
    </row>
    <row r="48" spans="1:11">
      <c r="A48" s="175"/>
      <c r="B48" s="176"/>
      <c r="C48" s="176"/>
      <c r="D48" s="176"/>
      <c r="E48" s="177"/>
    </row>
    <row r="49" spans="1:11">
      <c r="A49" s="175"/>
      <c r="B49" s="176"/>
      <c r="C49" s="176"/>
      <c r="D49" s="176"/>
      <c r="E49" s="177"/>
    </row>
    <row r="50" spans="1:11" ht="15">
      <c r="A50" s="169"/>
      <c r="B50" s="7" t="s">
        <v>19</v>
      </c>
      <c r="C50" s="1225">
        <v>900005171310</v>
      </c>
      <c r="D50" s="1225"/>
      <c r="E50" s="1239"/>
      <c r="F50" s="1240"/>
      <c r="G50" s="1240"/>
      <c r="H50" s="1240"/>
      <c r="I50" s="1240"/>
      <c r="J50" s="1240"/>
      <c r="K50" s="1240"/>
    </row>
    <row r="51" spans="1:11" ht="29.25" customHeight="1">
      <c r="A51" s="169"/>
      <c r="B51" s="8" t="s">
        <v>42</v>
      </c>
      <c r="C51" s="1235" t="s">
        <v>48</v>
      </c>
      <c r="D51" s="1235"/>
      <c r="E51" s="1236"/>
      <c r="F51" s="1237"/>
      <c r="G51" s="1237"/>
      <c r="H51" s="1237"/>
      <c r="I51" s="1237"/>
      <c r="J51" s="1237"/>
      <c r="K51" s="1237"/>
    </row>
    <row r="52" spans="1:11" ht="15">
      <c r="A52" s="169" t="s">
        <v>40</v>
      </c>
      <c r="B52" s="7" t="s">
        <v>20</v>
      </c>
      <c r="C52" s="3">
        <v>2012</v>
      </c>
      <c r="D52" s="3">
        <v>2013</v>
      </c>
      <c r="E52" s="170">
        <v>2014</v>
      </c>
      <c r="F52" s="9"/>
      <c r="G52" s="9"/>
      <c r="H52" s="9"/>
      <c r="I52" s="9"/>
      <c r="J52" s="10"/>
      <c r="K52" s="9"/>
    </row>
    <row r="53" spans="1:11" ht="15">
      <c r="A53" s="169" t="s">
        <v>10</v>
      </c>
      <c r="B53" s="7" t="s">
        <v>21</v>
      </c>
      <c r="C53" s="4"/>
      <c r="D53" s="13"/>
      <c r="E53" s="171"/>
      <c r="F53" s="11"/>
      <c r="G53" s="11"/>
      <c r="H53" s="11"/>
      <c r="I53" s="11"/>
      <c r="J53" s="11"/>
      <c r="K53" s="11"/>
    </row>
    <row r="54" spans="1:11" ht="15">
      <c r="A54" s="169" t="s">
        <v>12</v>
      </c>
      <c r="B54" s="7" t="s">
        <v>22</v>
      </c>
      <c r="C54" s="4"/>
      <c r="D54" s="13"/>
      <c r="E54" s="171"/>
      <c r="F54" s="11"/>
      <c r="G54" s="11"/>
      <c r="H54" s="11"/>
      <c r="I54" s="11"/>
      <c r="J54" s="11"/>
      <c r="K54" s="11"/>
    </row>
    <row r="55" spans="1:11" ht="15">
      <c r="A55" s="169" t="s">
        <v>9</v>
      </c>
      <c r="B55" s="7" t="s">
        <v>23</v>
      </c>
      <c r="C55" s="4"/>
      <c r="D55" s="13"/>
      <c r="E55" s="171"/>
      <c r="F55" s="11"/>
      <c r="G55" s="11"/>
      <c r="H55" s="11"/>
      <c r="I55" s="11"/>
      <c r="J55" s="11"/>
      <c r="K55" s="11"/>
    </row>
    <row r="56" spans="1:11" ht="21" customHeight="1">
      <c r="A56" s="169" t="s">
        <v>13</v>
      </c>
      <c r="B56" s="7" t="s">
        <v>24</v>
      </c>
      <c r="C56" s="4"/>
      <c r="D56" s="13"/>
      <c r="E56" s="171"/>
      <c r="G56" s="11"/>
      <c r="H56" s="11"/>
      <c r="I56" s="11"/>
      <c r="J56" s="11"/>
      <c r="K56" s="12"/>
    </row>
    <row r="57" spans="1:11" ht="21" customHeight="1">
      <c r="A57" s="169" t="s">
        <v>0</v>
      </c>
      <c r="B57" s="7" t="s">
        <v>25</v>
      </c>
      <c r="C57" s="4"/>
      <c r="D57" s="13"/>
      <c r="E57" s="171"/>
      <c r="G57" s="11"/>
      <c r="H57" s="11"/>
      <c r="I57" s="11"/>
      <c r="J57" s="11"/>
      <c r="K57" s="11"/>
    </row>
    <row r="58" spans="1:11" ht="21" customHeight="1">
      <c r="A58" s="169" t="s">
        <v>4</v>
      </c>
      <c r="B58" s="7" t="s">
        <v>26</v>
      </c>
      <c r="C58" s="4"/>
      <c r="D58" s="13"/>
      <c r="E58" s="171"/>
      <c r="G58" s="11"/>
      <c r="H58" s="11"/>
      <c r="I58" s="11"/>
      <c r="J58" s="11"/>
      <c r="K58" s="11"/>
    </row>
    <row r="59" spans="1:11" ht="21" customHeight="1">
      <c r="A59" s="169" t="s">
        <v>14</v>
      </c>
      <c r="B59" s="7" t="s">
        <v>27</v>
      </c>
      <c r="C59" s="4"/>
      <c r="D59" s="13"/>
      <c r="E59" s="171"/>
      <c r="G59" s="11"/>
      <c r="H59" s="11"/>
      <c r="I59" s="11"/>
      <c r="J59" s="11"/>
      <c r="K59" s="11"/>
    </row>
    <row r="60" spans="1:11" ht="21" customHeight="1">
      <c r="A60" s="169" t="s">
        <v>8</v>
      </c>
      <c r="B60" s="7" t="s">
        <v>28</v>
      </c>
      <c r="C60" s="4"/>
      <c r="D60" s="13"/>
      <c r="E60" s="171"/>
      <c r="G60" s="11"/>
      <c r="H60" s="11"/>
      <c r="I60" s="11"/>
      <c r="J60" s="11"/>
      <c r="K60" s="11"/>
    </row>
    <row r="61" spans="1:11" ht="21" customHeight="1">
      <c r="A61" s="169" t="s">
        <v>5</v>
      </c>
      <c r="B61" s="7" t="s">
        <v>29</v>
      </c>
      <c r="C61" s="4"/>
      <c r="D61" s="13"/>
      <c r="E61" s="171"/>
      <c r="F61" s="11"/>
      <c r="G61" s="11"/>
      <c r="H61" s="11"/>
      <c r="I61" s="11"/>
      <c r="J61" s="11"/>
      <c r="K61" s="11"/>
    </row>
    <row r="62" spans="1:11" ht="15">
      <c r="A62" s="169" t="s">
        <v>1</v>
      </c>
      <c r="B62" s="7" t="s">
        <v>30</v>
      </c>
      <c r="C62" s="4"/>
      <c r="D62" s="13"/>
      <c r="E62" s="171"/>
      <c r="F62" s="11"/>
      <c r="G62" s="11"/>
      <c r="H62" s="11"/>
      <c r="I62" s="11"/>
      <c r="J62" s="11"/>
      <c r="K62" s="11"/>
    </row>
    <row r="63" spans="1:11" ht="17.399999999999999">
      <c r="A63" s="178" t="s">
        <v>3</v>
      </c>
      <c r="B63" s="7" t="s">
        <v>31</v>
      </c>
      <c r="C63" s="4">
        <v>436121.3</v>
      </c>
      <c r="D63" s="4">
        <v>130046.75199999999</v>
      </c>
      <c r="E63" s="172">
        <v>189639.087</v>
      </c>
      <c r="F63" s="82"/>
      <c r="G63" s="82"/>
      <c r="H63" s="83"/>
      <c r="I63" s="11"/>
      <c r="J63" s="11"/>
      <c r="K63" s="11"/>
    </row>
    <row r="64" spans="1:11" ht="17.399999999999999">
      <c r="A64" s="178" t="s">
        <v>11</v>
      </c>
      <c r="B64" s="7" t="s">
        <v>32</v>
      </c>
      <c r="C64" s="4"/>
      <c r="D64" s="4"/>
      <c r="E64" s="172"/>
      <c r="G64" s="82"/>
      <c r="H64" s="83"/>
      <c r="I64" s="11"/>
      <c r="J64" s="11"/>
      <c r="K64" s="11"/>
    </row>
    <row r="65" spans="1:11" ht="17.399999999999999">
      <c r="A65" s="178" t="s">
        <v>2</v>
      </c>
      <c r="B65" s="7" t="s">
        <v>33</v>
      </c>
      <c r="C65" s="4">
        <v>12016797</v>
      </c>
      <c r="D65" s="4">
        <v>15870000</v>
      </c>
      <c r="E65" s="172">
        <v>16638852</v>
      </c>
      <c r="F65" s="82"/>
      <c r="G65" s="82"/>
      <c r="H65" s="83"/>
      <c r="I65" s="11"/>
      <c r="J65" s="11"/>
      <c r="K65" s="11"/>
    </row>
    <row r="66" spans="1:11" ht="19.5" customHeight="1">
      <c r="A66" s="178" t="s">
        <v>7</v>
      </c>
      <c r="B66" s="7" t="s">
        <v>34</v>
      </c>
      <c r="C66" s="4">
        <v>1848140.9</v>
      </c>
      <c r="D66" s="4">
        <v>1252747</v>
      </c>
      <c r="E66" s="172">
        <v>675000</v>
      </c>
      <c r="F66" s="82"/>
      <c r="G66" s="82"/>
      <c r="H66" s="83"/>
      <c r="I66" s="11"/>
      <c r="J66" s="11"/>
      <c r="K66" s="11"/>
    </row>
    <row r="67" spans="1:11" ht="15">
      <c r="A67" s="169" t="s">
        <v>6</v>
      </c>
      <c r="B67" s="7" t="s">
        <v>35</v>
      </c>
      <c r="C67" s="4">
        <v>1080170</v>
      </c>
      <c r="D67" s="4">
        <v>1338103.0190000001</v>
      </c>
      <c r="E67" s="172">
        <v>854400</v>
      </c>
      <c r="F67" s="82"/>
      <c r="G67" s="82"/>
      <c r="H67" s="83"/>
      <c r="I67" s="11"/>
      <c r="J67" s="11"/>
      <c r="K67" s="11"/>
    </row>
    <row r="68" spans="1:11" ht="17.399999999999999">
      <c r="A68" s="178" t="s">
        <v>15</v>
      </c>
      <c r="B68" s="7" t="s">
        <v>36</v>
      </c>
      <c r="C68" s="4">
        <v>2941999.6</v>
      </c>
      <c r="D68" s="4">
        <v>2215000</v>
      </c>
      <c r="E68" s="172">
        <v>881990</v>
      </c>
      <c r="F68" s="82"/>
      <c r="G68" s="82"/>
      <c r="H68" s="83"/>
      <c r="I68" s="11"/>
      <c r="J68" s="11"/>
      <c r="K68" s="11"/>
    </row>
    <row r="69" spans="1:11" ht="17.399999999999999">
      <c r="A69" s="178" t="s">
        <v>16</v>
      </c>
      <c r="B69" s="7" t="s">
        <v>37</v>
      </c>
      <c r="C69" s="4"/>
      <c r="D69" s="4"/>
      <c r="E69" s="171"/>
      <c r="F69" s="11"/>
      <c r="G69" s="82"/>
      <c r="H69" s="83"/>
      <c r="I69" s="11"/>
      <c r="J69" s="11"/>
      <c r="K69" s="11"/>
    </row>
    <row r="70" spans="1:11" ht="17.399999999999999">
      <c r="A70" s="178" t="s">
        <v>17</v>
      </c>
      <c r="B70" s="7" t="s">
        <v>38</v>
      </c>
      <c r="C70" s="4"/>
      <c r="D70" s="4"/>
      <c r="E70" s="171"/>
      <c r="F70" s="11"/>
      <c r="G70" s="82"/>
      <c r="H70" s="83"/>
      <c r="I70" s="11"/>
      <c r="J70" s="11"/>
      <c r="K70" s="11"/>
    </row>
    <row r="71" spans="1:11" ht="17.399999999999999">
      <c r="A71" s="178"/>
      <c r="B71" s="7" t="s">
        <v>39</v>
      </c>
      <c r="C71" s="4">
        <f>SUM(C53:C70)</f>
        <v>18323228.800000001</v>
      </c>
      <c r="D71" s="4">
        <f>SUM(D53:D70)</f>
        <v>20805896.771000002</v>
      </c>
      <c r="E71" s="172">
        <f>SUM(E53:E70)</f>
        <v>19239881.087000001</v>
      </c>
      <c r="F71" s="11"/>
      <c r="G71" s="11"/>
      <c r="H71" s="11"/>
      <c r="I71" s="11"/>
      <c r="J71" s="11"/>
      <c r="K71" s="11"/>
    </row>
    <row r="72" spans="1:11" ht="15">
      <c r="A72" s="179"/>
      <c r="B72" s="176"/>
      <c r="C72" s="176"/>
      <c r="D72" s="176"/>
      <c r="E72" s="177"/>
    </row>
    <row r="73" spans="1:11" ht="15">
      <c r="A73" s="179"/>
      <c r="B73" s="176"/>
      <c r="C73" s="176"/>
      <c r="D73" s="176"/>
      <c r="E73" s="177"/>
    </row>
    <row r="74" spans="1:11" ht="15">
      <c r="A74" s="179"/>
      <c r="B74" s="176"/>
      <c r="C74" s="176"/>
      <c r="D74" s="176"/>
      <c r="E74" s="177"/>
    </row>
    <row r="75" spans="1:11" ht="15">
      <c r="A75" s="179"/>
      <c r="B75" s="176"/>
      <c r="C75" s="176"/>
      <c r="D75" s="176"/>
      <c r="E75" s="177"/>
    </row>
    <row r="76" spans="1:11" ht="15">
      <c r="A76" s="179"/>
      <c r="B76" s="176"/>
      <c r="C76" s="176"/>
      <c r="D76" s="176"/>
      <c r="E76" s="177"/>
    </row>
    <row r="77" spans="1:11" ht="15">
      <c r="A77" s="179"/>
      <c r="B77" s="176"/>
      <c r="C77" s="176"/>
      <c r="D77" s="176"/>
      <c r="E77" s="177"/>
    </row>
    <row r="78" spans="1:11" ht="15">
      <c r="A78" s="179"/>
      <c r="B78" s="176"/>
      <c r="C78" s="176"/>
      <c r="D78" s="176"/>
      <c r="E78" s="177"/>
    </row>
    <row r="79" spans="1:11" ht="15">
      <c r="A79" s="179"/>
      <c r="B79" s="176"/>
      <c r="C79" s="176"/>
      <c r="D79" s="176"/>
      <c r="E79" s="177"/>
    </row>
    <row r="80" spans="1:11" ht="15">
      <c r="A80" s="179"/>
      <c r="B80" s="176"/>
      <c r="C80" s="176"/>
      <c r="D80" s="176"/>
      <c r="E80" s="177"/>
    </row>
    <row r="81" spans="1:5">
      <c r="A81" s="175"/>
      <c r="B81" s="176"/>
      <c r="C81" s="176"/>
      <c r="D81" s="176"/>
      <c r="E81" s="177"/>
    </row>
    <row r="82" spans="1:5">
      <c r="A82" s="175"/>
      <c r="B82" s="176"/>
      <c r="C82" s="176"/>
      <c r="D82" s="176"/>
      <c r="E82" s="177"/>
    </row>
    <row r="83" spans="1:5">
      <c r="A83" s="175"/>
      <c r="B83" s="176"/>
      <c r="C83" s="176"/>
      <c r="D83" s="176"/>
      <c r="E83" s="177"/>
    </row>
    <row r="84" spans="1:5">
      <c r="A84" s="175"/>
      <c r="B84" s="176"/>
      <c r="C84" s="176"/>
      <c r="D84" s="176"/>
      <c r="E84" s="177"/>
    </row>
    <row r="85" spans="1:5">
      <c r="A85" s="175"/>
      <c r="B85" s="176"/>
      <c r="C85" s="176"/>
      <c r="D85" s="176"/>
      <c r="E85" s="177"/>
    </row>
    <row r="86" spans="1:5">
      <c r="A86" s="175"/>
      <c r="B86" s="176"/>
      <c r="C86" s="176"/>
      <c r="D86" s="176"/>
      <c r="E86" s="177"/>
    </row>
    <row r="87" spans="1:5">
      <c r="A87" s="175"/>
      <c r="B87" s="176"/>
      <c r="C87" s="176"/>
      <c r="D87" s="176"/>
      <c r="E87" s="177"/>
    </row>
    <row r="88" spans="1:5">
      <c r="A88" s="175"/>
      <c r="B88" s="176"/>
      <c r="C88" s="176"/>
      <c r="D88" s="176"/>
      <c r="E88" s="177"/>
    </row>
    <row r="89" spans="1:5">
      <c r="A89" s="175"/>
      <c r="B89" s="176"/>
      <c r="C89" s="176"/>
      <c r="D89" s="176"/>
      <c r="E89" s="177"/>
    </row>
    <row r="90" spans="1:5">
      <c r="A90" s="175"/>
      <c r="B90" s="176"/>
      <c r="C90" s="176"/>
      <c r="D90" s="176"/>
      <c r="E90" s="177"/>
    </row>
    <row r="91" spans="1:5" ht="13.8" thickBot="1">
      <c r="A91" s="175"/>
      <c r="B91" s="176"/>
      <c r="C91" s="176"/>
      <c r="D91" s="176"/>
      <c r="E91" s="177"/>
    </row>
    <row r="92" spans="1:5" ht="18" thickBot="1">
      <c r="A92" s="142"/>
      <c r="B92" s="143"/>
      <c r="C92" s="144"/>
      <c r="D92" s="144"/>
      <c r="E92" s="145"/>
    </row>
  </sheetData>
  <mergeCells count="20">
    <mergeCell ref="C51:E51"/>
    <mergeCell ref="F51:H51"/>
    <mergeCell ref="I51:K51"/>
    <mergeCell ref="I4:K4"/>
    <mergeCell ref="F27:H27"/>
    <mergeCell ref="C27:E27"/>
    <mergeCell ref="I27:K27"/>
    <mergeCell ref="C50:E50"/>
    <mergeCell ref="F50:H50"/>
    <mergeCell ref="I50:K50"/>
    <mergeCell ref="A1:K1"/>
    <mergeCell ref="A2:K2"/>
    <mergeCell ref="C26:E26"/>
    <mergeCell ref="I26:K26"/>
    <mergeCell ref="C3:E3"/>
    <mergeCell ref="F3:H3"/>
    <mergeCell ref="I3:K3"/>
    <mergeCell ref="F26:H26"/>
    <mergeCell ref="C4:E4"/>
    <mergeCell ref="F4:H4"/>
  </mergeCells>
  <phoneticPr fontId="2" type="noConversion"/>
  <printOptions horizontalCentered="1" verticalCentered="1"/>
  <pageMargins left="0.2" right="0.19" top="0.25" bottom="0.28000000000000003" header="0" footer="0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opLeftCell="A10" workbookViewId="0">
      <selection activeCell="P31" sqref="P31"/>
    </sheetView>
  </sheetViews>
  <sheetFormatPr defaultColWidth="9.109375" defaultRowHeight="15"/>
  <cols>
    <col min="1" max="1" width="4.88671875" style="189" customWidth="1"/>
    <col min="2" max="2" width="28.44140625" style="189" customWidth="1"/>
    <col min="3" max="3" width="18.109375" style="189" customWidth="1"/>
    <col min="4" max="4" width="19.5546875" style="189" customWidth="1"/>
    <col min="5" max="5" width="21.5546875" style="189" customWidth="1"/>
    <col min="6" max="6" width="13.6640625" style="190" bestFit="1" customWidth="1"/>
    <col min="7" max="7" width="12.88671875" style="190" bestFit="1" customWidth="1"/>
    <col min="8" max="8" width="13.6640625" style="190" bestFit="1" customWidth="1"/>
    <col min="9" max="9" width="12.33203125" style="189" customWidth="1"/>
    <col min="10" max="10" width="11.109375" style="189" customWidth="1"/>
    <col min="11" max="11" width="12.6640625" style="189" customWidth="1"/>
    <col min="12" max="12" width="11.33203125" style="189" customWidth="1"/>
    <col min="13" max="13" width="12.88671875" style="189" customWidth="1"/>
    <col min="14" max="14" width="12" style="189" bestFit="1" customWidth="1"/>
    <col min="15" max="15" width="12.88671875" style="189" customWidth="1"/>
    <col min="16" max="16384" width="9.109375" style="189"/>
  </cols>
  <sheetData>
    <row r="1" spans="1:17" ht="0.75" customHeight="1"/>
    <row r="2" spans="1:17" ht="18" hidden="1" customHeight="1"/>
    <row r="3" spans="1:17" ht="21.75" customHeight="1">
      <c r="A3" s="1365" t="s">
        <v>199</v>
      </c>
      <c r="B3" s="1365"/>
      <c r="C3" s="1365"/>
      <c r="D3" s="1365"/>
      <c r="E3" s="1365"/>
      <c r="F3" s="1365"/>
      <c r="G3" s="1365"/>
      <c r="H3" s="1365"/>
      <c r="I3" s="1365"/>
      <c r="J3" s="1365"/>
      <c r="K3" s="1365"/>
      <c r="L3" s="1365"/>
      <c r="M3" s="1365"/>
    </row>
    <row r="4" spans="1:17" ht="0.75" customHeight="1"/>
    <row r="5" spans="1:17" ht="115.5" customHeight="1">
      <c r="A5" s="1364" t="s">
        <v>217</v>
      </c>
      <c r="B5" s="1364"/>
      <c r="C5" s="1364"/>
      <c r="D5" s="1364"/>
      <c r="E5" s="1364"/>
      <c r="F5" s="1364"/>
      <c r="G5" s="1364"/>
      <c r="H5" s="1364"/>
      <c r="I5" s="1364"/>
      <c r="J5" s="1364"/>
      <c r="K5" s="1364"/>
      <c r="L5" s="1364"/>
      <c r="M5" s="1364"/>
    </row>
    <row r="6" spans="1:17" hidden="1">
      <c r="B6" s="191"/>
    </row>
    <row r="7" spans="1:17" ht="15.6" thickBot="1">
      <c r="B7" s="191"/>
      <c r="E7" s="189" t="s">
        <v>200</v>
      </c>
    </row>
    <row r="8" spans="1:17" s="192" customFormat="1" ht="53.25" customHeight="1">
      <c r="A8" s="1366" t="s">
        <v>201</v>
      </c>
      <c r="B8" s="1368" t="s">
        <v>67</v>
      </c>
      <c r="C8" s="1370" t="s">
        <v>202</v>
      </c>
      <c r="D8" s="1362" t="s">
        <v>203</v>
      </c>
      <c r="E8" s="1363"/>
      <c r="F8" s="1362" t="s">
        <v>213</v>
      </c>
      <c r="G8" s="1363"/>
      <c r="H8" s="1362" t="s">
        <v>214</v>
      </c>
      <c r="I8" s="1363"/>
      <c r="J8" s="1362" t="s">
        <v>215</v>
      </c>
      <c r="K8" s="1363"/>
      <c r="L8" s="1362" t="s">
        <v>216</v>
      </c>
      <c r="M8" s="1363"/>
    </row>
    <row r="9" spans="1:17" s="192" customFormat="1" ht="45.75" customHeight="1" thickBot="1">
      <c r="A9" s="1367"/>
      <c r="B9" s="1369"/>
      <c r="C9" s="1371"/>
      <c r="D9" s="193" t="s">
        <v>204</v>
      </c>
      <c r="E9" s="194" t="s">
        <v>205</v>
      </c>
      <c r="F9" s="199" t="s">
        <v>211</v>
      </c>
      <c r="G9" s="200" t="s">
        <v>212</v>
      </c>
      <c r="H9" s="199" t="s">
        <v>211</v>
      </c>
      <c r="I9" s="200" t="s">
        <v>212</v>
      </c>
      <c r="J9" s="199" t="s">
        <v>211</v>
      </c>
      <c r="K9" s="200" t="s">
        <v>212</v>
      </c>
      <c r="L9" s="199" t="s">
        <v>211</v>
      </c>
      <c r="M9" s="200" t="s">
        <v>212</v>
      </c>
    </row>
    <row r="10" spans="1:17" s="192" customFormat="1" ht="17.25" customHeight="1" thickBot="1">
      <c r="A10" s="211"/>
      <c r="B10" s="213">
        <v>1</v>
      </c>
      <c r="C10" s="206">
        <v>2</v>
      </c>
      <c r="D10" s="206">
        <v>3</v>
      </c>
      <c r="E10" s="207">
        <v>4</v>
      </c>
      <c r="F10" s="208"/>
      <c r="G10" s="208"/>
      <c r="H10" s="208"/>
      <c r="I10" s="209"/>
      <c r="J10" s="209"/>
      <c r="K10" s="209"/>
      <c r="L10" s="209"/>
      <c r="M10" s="214"/>
    </row>
    <row r="11" spans="1:17" s="192" customFormat="1" ht="18.75" customHeight="1">
      <c r="A11" s="205"/>
      <c r="B11" s="268" t="s">
        <v>39</v>
      </c>
      <c r="C11" s="269">
        <f>C12+C15+C19+C26</f>
        <v>94421</v>
      </c>
      <c r="D11" s="269">
        <f>D12+D15+D19+D26</f>
        <v>16569.3</v>
      </c>
      <c r="E11" s="270">
        <f>E12+E15+E19+E26</f>
        <v>77851.700000000012</v>
      </c>
      <c r="F11" s="271">
        <f>F12+F15+F19+F26</f>
        <v>0</v>
      </c>
      <c r="G11" s="271">
        <f t="shared" ref="G11:M11" si="0">G12+G15+G19+G26</f>
        <v>0</v>
      </c>
      <c r="H11" s="271">
        <f t="shared" si="0"/>
        <v>4400</v>
      </c>
      <c r="I11" s="271">
        <f t="shared" si="0"/>
        <v>5700</v>
      </c>
      <c r="J11" s="271">
        <f t="shared" si="0"/>
        <v>3200</v>
      </c>
      <c r="K11" s="271">
        <f t="shared" si="0"/>
        <v>32300</v>
      </c>
      <c r="L11" s="271">
        <f t="shared" si="0"/>
        <v>8969.2999999999993</v>
      </c>
      <c r="M11" s="272">
        <f t="shared" si="0"/>
        <v>39851.699999999997</v>
      </c>
      <c r="N11" s="272">
        <f>N12+N15+N19+N26</f>
        <v>16569.3</v>
      </c>
      <c r="O11" s="272">
        <f>O12+O15+O19+O26</f>
        <v>77851.700000000012</v>
      </c>
    </row>
    <row r="12" spans="1:17" s="192" customFormat="1" ht="19.5" customHeight="1">
      <c r="A12" s="273">
        <v>1</v>
      </c>
      <c r="B12" s="274" t="s">
        <v>134</v>
      </c>
      <c r="C12" s="275">
        <f>D12+E12</f>
        <v>7159.1</v>
      </c>
      <c r="D12" s="201">
        <f>D14</f>
        <v>0</v>
      </c>
      <c r="E12" s="275">
        <f>E14</f>
        <v>7159.1</v>
      </c>
      <c r="F12" s="203">
        <v>0</v>
      </c>
      <c r="G12" s="203">
        <v>0</v>
      </c>
      <c r="H12" s="220">
        <f t="shared" ref="H12:M12" si="1">H14</f>
        <v>0</v>
      </c>
      <c r="I12" s="276">
        <f t="shared" si="1"/>
        <v>524.1</v>
      </c>
      <c r="J12" s="203">
        <f t="shared" si="1"/>
        <v>0</v>
      </c>
      <c r="K12" s="275">
        <f t="shared" si="1"/>
        <v>2970</v>
      </c>
      <c r="L12" s="203">
        <f t="shared" si="1"/>
        <v>0</v>
      </c>
      <c r="M12" s="275">
        <f t="shared" si="1"/>
        <v>3665</v>
      </c>
      <c r="N12" s="277">
        <f t="shared" ref="N12:N28" si="2">F12+H12+J12+L12</f>
        <v>0</v>
      </c>
      <c r="O12" s="277">
        <f t="shared" ref="O12:O28" si="3">G12+I12+K12+M12</f>
        <v>7159.1</v>
      </c>
      <c r="P12" s="218">
        <f>N12-D12</f>
        <v>0</v>
      </c>
      <c r="Q12" s="218">
        <f>O12-E12</f>
        <v>0</v>
      </c>
    </row>
    <row r="13" spans="1:17" s="192" customFormat="1" ht="19.5" customHeight="1">
      <c r="A13" s="273"/>
      <c r="B13" s="278" t="s">
        <v>206</v>
      </c>
      <c r="C13" s="195"/>
      <c r="D13" s="195"/>
      <c r="E13" s="195"/>
      <c r="F13" s="203"/>
      <c r="G13" s="203"/>
      <c r="H13" s="220"/>
      <c r="I13" s="221"/>
      <c r="J13" s="204"/>
      <c r="K13" s="204"/>
      <c r="L13" s="204"/>
      <c r="M13" s="204"/>
      <c r="N13" s="277"/>
      <c r="O13" s="277"/>
      <c r="P13" s="218">
        <f t="shared" ref="P13:P25" si="4">N13-D13</f>
        <v>0</v>
      </c>
      <c r="Q13" s="218">
        <f t="shared" ref="Q13:Q25" si="5">O13-E13</f>
        <v>0</v>
      </c>
    </row>
    <row r="14" spans="1:17" s="192" customFormat="1" ht="19.5" customHeight="1">
      <c r="A14" s="273"/>
      <c r="B14" s="278" t="s">
        <v>97</v>
      </c>
      <c r="C14" s="197">
        <f>D14+E14</f>
        <v>7159.1</v>
      </c>
      <c r="D14" s="201">
        <v>0</v>
      </c>
      <c r="E14" s="197">
        <v>7159.1</v>
      </c>
      <c r="F14" s="203">
        <v>0</v>
      </c>
      <c r="G14" s="203">
        <v>0</v>
      </c>
      <c r="H14" s="220">
        <f>D14*26.555/100</f>
        <v>0</v>
      </c>
      <c r="I14" s="279">
        <v>524.1</v>
      </c>
      <c r="J14" s="204">
        <f>D14*19.312/100</f>
        <v>0</v>
      </c>
      <c r="K14" s="204">
        <v>2970</v>
      </c>
      <c r="L14" s="204">
        <f>D14*54.132/100</f>
        <v>0</v>
      </c>
      <c r="M14" s="280">
        <v>3665</v>
      </c>
      <c r="N14" s="277">
        <f t="shared" si="2"/>
        <v>0</v>
      </c>
      <c r="O14" s="277">
        <f t="shared" si="3"/>
        <v>7159.1</v>
      </c>
      <c r="P14" s="218">
        <f t="shared" si="4"/>
        <v>0</v>
      </c>
      <c r="Q14" s="218">
        <f t="shared" si="5"/>
        <v>0</v>
      </c>
    </row>
    <row r="15" spans="1:17" s="196" customFormat="1" ht="18" customHeight="1">
      <c r="A15" s="273">
        <v>2</v>
      </c>
      <c r="B15" s="274" t="s">
        <v>115</v>
      </c>
      <c r="C15" s="275">
        <f t="shared" ref="C15:O15" si="6">C17+C18</f>
        <v>52506.399999999994</v>
      </c>
      <c r="D15" s="275">
        <f t="shared" si="6"/>
        <v>9294.4</v>
      </c>
      <c r="E15" s="275">
        <f t="shared" si="6"/>
        <v>43212</v>
      </c>
      <c r="F15" s="281">
        <f t="shared" si="6"/>
        <v>0</v>
      </c>
      <c r="G15" s="281">
        <f t="shared" si="6"/>
        <v>0</v>
      </c>
      <c r="H15" s="282">
        <f t="shared" si="6"/>
        <v>2468.1999999999998</v>
      </c>
      <c r="I15" s="283">
        <f t="shared" si="6"/>
        <v>3163.7</v>
      </c>
      <c r="J15" s="281">
        <f t="shared" si="6"/>
        <v>1795.2</v>
      </c>
      <c r="K15" s="281">
        <f t="shared" si="6"/>
        <v>17928.199999999997</v>
      </c>
      <c r="L15" s="281">
        <f t="shared" si="6"/>
        <v>5031</v>
      </c>
      <c r="M15" s="281">
        <f t="shared" si="6"/>
        <v>22120.100000000002</v>
      </c>
      <c r="N15" s="281">
        <f t="shared" si="6"/>
        <v>9294.4</v>
      </c>
      <c r="O15" s="281">
        <f t="shared" si="6"/>
        <v>43212</v>
      </c>
      <c r="P15" s="218">
        <f t="shared" si="4"/>
        <v>0</v>
      </c>
      <c r="Q15" s="218">
        <f t="shared" si="5"/>
        <v>0</v>
      </c>
    </row>
    <row r="16" spans="1:17" s="192" customFormat="1" ht="15" customHeight="1">
      <c r="A16" s="284"/>
      <c r="B16" s="278" t="s">
        <v>206</v>
      </c>
      <c r="C16" s="285"/>
      <c r="D16" s="285"/>
      <c r="E16" s="285"/>
      <c r="F16" s="203"/>
      <c r="G16" s="203"/>
      <c r="H16" s="220"/>
      <c r="I16" s="279"/>
      <c r="J16" s="204"/>
      <c r="K16" s="204"/>
      <c r="L16" s="204"/>
      <c r="M16" s="204"/>
      <c r="N16" s="277"/>
      <c r="O16" s="277"/>
      <c r="P16" s="218">
        <f t="shared" si="4"/>
        <v>0</v>
      </c>
      <c r="Q16" s="218">
        <f t="shared" si="5"/>
        <v>0</v>
      </c>
    </row>
    <row r="17" spans="1:17" s="192" customFormat="1" ht="19.5" customHeight="1">
      <c r="A17" s="284"/>
      <c r="B17" s="278" t="s">
        <v>71</v>
      </c>
      <c r="C17" s="197">
        <f>D17+E17</f>
        <v>4588.2</v>
      </c>
      <c r="D17" s="197">
        <v>1376.2</v>
      </c>
      <c r="E17" s="197">
        <v>3212</v>
      </c>
      <c r="F17" s="203">
        <v>0</v>
      </c>
      <c r="G17" s="203">
        <v>0</v>
      </c>
      <c r="H17" s="220">
        <v>365.5</v>
      </c>
      <c r="I17" s="279">
        <v>235.2</v>
      </c>
      <c r="J17" s="204">
        <v>265.7</v>
      </c>
      <c r="K17" s="204">
        <v>1332.6</v>
      </c>
      <c r="L17" s="204">
        <v>745</v>
      </c>
      <c r="M17" s="280">
        <v>1644.2</v>
      </c>
      <c r="N17" s="277">
        <f t="shared" si="2"/>
        <v>1376.2</v>
      </c>
      <c r="O17" s="277">
        <f t="shared" si="3"/>
        <v>3212</v>
      </c>
      <c r="P17" s="218">
        <f t="shared" si="4"/>
        <v>0</v>
      </c>
      <c r="Q17" s="218">
        <f t="shared" si="5"/>
        <v>0</v>
      </c>
    </row>
    <row r="18" spans="1:17" s="192" customFormat="1" ht="17.25" customHeight="1">
      <c r="A18" s="284"/>
      <c r="B18" s="278" t="s">
        <v>207</v>
      </c>
      <c r="C18" s="197">
        <f>D18+E18</f>
        <v>47918.2</v>
      </c>
      <c r="D18" s="197">
        <v>7918.2</v>
      </c>
      <c r="E18" s="197">
        <v>40000</v>
      </c>
      <c r="F18" s="203">
        <v>0</v>
      </c>
      <c r="G18" s="203">
        <v>0</v>
      </c>
      <c r="H18" s="220">
        <v>2102.6999999999998</v>
      </c>
      <c r="I18" s="279">
        <v>2928.5</v>
      </c>
      <c r="J18" s="204">
        <v>1529.5</v>
      </c>
      <c r="K18" s="204">
        <v>16595.599999999999</v>
      </c>
      <c r="L18" s="204">
        <v>4286</v>
      </c>
      <c r="M18" s="280">
        <v>20475.900000000001</v>
      </c>
      <c r="N18" s="277">
        <f t="shared" si="2"/>
        <v>7918.2</v>
      </c>
      <c r="O18" s="277">
        <f t="shared" si="3"/>
        <v>40000</v>
      </c>
      <c r="P18" s="218">
        <f t="shared" si="4"/>
        <v>0</v>
      </c>
      <c r="Q18" s="218">
        <f t="shared" si="5"/>
        <v>0</v>
      </c>
    </row>
    <row r="19" spans="1:17" ht="19.5" customHeight="1">
      <c r="A19" s="286">
        <v>3</v>
      </c>
      <c r="B19" s="274" t="s">
        <v>208</v>
      </c>
      <c r="C19" s="275">
        <f t="shared" ref="C19:O19" si="7">C21+C22+C23+C24+C25</f>
        <v>33540.899999999994</v>
      </c>
      <c r="D19" s="275">
        <f t="shared" si="7"/>
        <v>7274.9</v>
      </c>
      <c r="E19" s="275">
        <f t="shared" si="7"/>
        <v>26266</v>
      </c>
      <c r="F19" s="281">
        <f t="shared" si="7"/>
        <v>0</v>
      </c>
      <c r="G19" s="281">
        <f t="shared" si="7"/>
        <v>0</v>
      </c>
      <c r="H19" s="282">
        <f t="shared" si="7"/>
        <v>1931.8</v>
      </c>
      <c r="I19" s="283">
        <f t="shared" si="7"/>
        <v>1923.2</v>
      </c>
      <c r="J19" s="281">
        <f t="shared" si="7"/>
        <v>1404.8</v>
      </c>
      <c r="K19" s="281">
        <f t="shared" si="7"/>
        <v>10897.9</v>
      </c>
      <c r="L19" s="281">
        <f t="shared" si="7"/>
        <v>3938.2999999999997</v>
      </c>
      <c r="M19" s="281">
        <f t="shared" si="7"/>
        <v>13444.9</v>
      </c>
      <c r="N19" s="281">
        <f t="shared" si="7"/>
        <v>7274.9</v>
      </c>
      <c r="O19" s="281">
        <f t="shared" si="7"/>
        <v>26266</v>
      </c>
      <c r="P19" s="218">
        <f t="shared" si="4"/>
        <v>0</v>
      </c>
      <c r="Q19" s="218">
        <f t="shared" si="5"/>
        <v>0</v>
      </c>
    </row>
    <row r="20" spans="1:17" ht="18" customHeight="1">
      <c r="A20" s="287"/>
      <c r="B20" s="278" t="s">
        <v>206</v>
      </c>
      <c r="C20" s="288"/>
      <c r="D20" s="288"/>
      <c r="E20" s="288"/>
      <c r="F20" s="203"/>
      <c r="G20" s="203"/>
      <c r="H20" s="220">
        <f>D20*26.55/100</f>
        <v>0</v>
      </c>
      <c r="I20" s="289"/>
      <c r="J20" s="290"/>
      <c r="K20" s="290"/>
      <c r="L20" s="290"/>
      <c r="M20" s="290"/>
      <c r="N20" s="277"/>
      <c r="O20" s="277"/>
      <c r="P20" s="218">
        <f t="shared" si="4"/>
        <v>0</v>
      </c>
      <c r="Q20" s="218">
        <f t="shared" si="5"/>
        <v>0</v>
      </c>
    </row>
    <row r="21" spans="1:17" ht="18" customHeight="1">
      <c r="A21" s="287"/>
      <c r="B21" s="278" t="s">
        <v>80</v>
      </c>
      <c r="C21" s="197">
        <f>D21+E21</f>
        <v>6338.6</v>
      </c>
      <c r="D21" s="201">
        <v>0</v>
      </c>
      <c r="E21" s="197">
        <v>6338.6</v>
      </c>
      <c r="F21" s="203">
        <v>0</v>
      </c>
      <c r="G21" s="203">
        <v>0</v>
      </c>
      <c r="H21" s="220">
        <f>D21*26.555/100</f>
        <v>0</v>
      </c>
      <c r="I21" s="279">
        <v>464.1</v>
      </c>
      <c r="J21" s="204">
        <f>D21*19.312/100</f>
        <v>0</v>
      </c>
      <c r="K21" s="204">
        <v>2629.8</v>
      </c>
      <c r="L21" s="204">
        <f>D21*54.132/100</f>
        <v>0</v>
      </c>
      <c r="M21" s="280">
        <v>3244.7</v>
      </c>
      <c r="N21" s="277">
        <f t="shared" si="2"/>
        <v>0</v>
      </c>
      <c r="O21" s="277">
        <f t="shared" si="3"/>
        <v>6338.6</v>
      </c>
      <c r="P21" s="218">
        <f t="shared" si="4"/>
        <v>0</v>
      </c>
      <c r="Q21" s="218">
        <f t="shared" si="5"/>
        <v>0</v>
      </c>
    </row>
    <row r="22" spans="1:17" ht="18" customHeight="1">
      <c r="A22" s="287"/>
      <c r="B22" s="278" t="s">
        <v>79</v>
      </c>
      <c r="C22" s="197">
        <f>D22+E22</f>
        <v>16500</v>
      </c>
      <c r="D22" s="197">
        <v>2250</v>
      </c>
      <c r="E22" s="197">
        <v>14250</v>
      </c>
      <c r="F22" s="203">
        <v>0</v>
      </c>
      <c r="G22" s="203">
        <v>0</v>
      </c>
      <c r="H22" s="220">
        <v>597.5</v>
      </c>
      <c r="I22" s="279">
        <v>1043.3</v>
      </c>
      <c r="J22" s="204">
        <v>434.5</v>
      </c>
      <c r="K22" s="204">
        <v>5912.7</v>
      </c>
      <c r="L22" s="204">
        <v>1218</v>
      </c>
      <c r="M22" s="204">
        <v>7294</v>
      </c>
      <c r="N22" s="277">
        <f t="shared" si="2"/>
        <v>2250</v>
      </c>
      <c r="O22" s="277">
        <f t="shared" si="3"/>
        <v>14250</v>
      </c>
      <c r="P22" s="218">
        <f t="shared" si="4"/>
        <v>0</v>
      </c>
      <c r="Q22" s="218">
        <f t="shared" si="5"/>
        <v>0</v>
      </c>
    </row>
    <row r="23" spans="1:17" ht="18" customHeight="1">
      <c r="A23" s="287"/>
      <c r="B23" s="278" t="s">
        <v>83</v>
      </c>
      <c r="C23" s="197">
        <f>D23+E23</f>
        <v>3340.3</v>
      </c>
      <c r="D23" s="197">
        <v>3340.3</v>
      </c>
      <c r="E23" s="201">
        <v>0</v>
      </c>
      <c r="F23" s="203">
        <v>0</v>
      </c>
      <c r="G23" s="203">
        <v>0</v>
      </c>
      <c r="H23" s="220">
        <v>887</v>
      </c>
      <c r="I23" s="279">
        <f>E23*7.321/100</f>
        <v>0</v>
      </c>
      <c r="J23" s="280">
        <v>645.1</v>
      </c>
      <c r="K23" s="204">
        <f>E23*41.489/100</f>
        <v>0</v>
      </c>
      <c r="L23" s="204">
        <v>1808.2</v>
      </c>
      <c r="M23" s="204">
        <f>E23*51.189/100</f>
        <v>0</v>
      </c>
      <c r="N23" s="277">
        <f t="shared" si="2"/>
        <v>3340.3</v>
      </c>
      <c r="O23" s="277">
        <f t="shared" si="3"/>
        <v>0</v>
      </c>
      <c r="P23" s="218">
        <f t="shared" si="4"/>
        <v>0</v>
      </c>
      <c r="Q23" s="218">
        <f t="shared" si="5"/>
        <v>0</v>
      </c>
    </row>
    <row r="24" spans="1:17" ht="18" customHeight="1">
      <c r="A24" s="287"/>
      <c r="B24" s="278" t="s">
        <v>84</v>
      </c>
      <c r="C24" s="197">
        <f>D24+E24</f>
        <v>1389.2</v>
      </c>
      <c r="D24" s="197">
        <v>689.2</v>
      </c>
      <c r="E24" s="197">
        <v>700</v>
      </c>
      <c r="F24" s="203">
        <v>0</v>
      </c>
      <c r="G24" s="203">
        <v>0</v>
      </c>
      <c r="H24" s="220">
        <v>183</v>
      </c>
      <c r="I24" s="279">
        <v>51.3</v>
      </c>
      <c r="J24" s="204">
        <v>133</v>
      </c>
      <c r="K24" s="204">
        <v>290.39999999999998</v>
      </c>
      <c r="L24" s="204">
        <v>373.2</v>
      </c>
      <c r="M24" s="204">
        <v>358.3</v>
      </c>
      <c r="N24" s="277">
        <f t="shared" si="2"/>
        <v>689.2</v>
      </c>
      <c r="O24" s="277">
        <f t="shared" si="3"/>
        <v>700</v>
      </c>
      <c r="P24" s="218">
        <f t="shared" si="4"/>
        <v>0</v>
      </c>
      <c r="Q24" s="218">
        <f t="shared" si="5"/>
        <v>0</v>
      </c>
    </row>
    <row r="25" spans="1:17" ht="18" customHeight="1">
      <c r="A25" s="287"/>
      <c r="B25" s="278" t="s">
        <v>82</v>
      </c>
      <c r="C25" s="197">
        <f>D25+E25</f>
        <v>5972.7999999999993</v>
      </c>
      <c r="D25" s="197">
        <v>995.4</v>
      </c>
      <c r="E25" s="197">
        <v>4977.3999999999996</v>
      </c>
      <c r="F25" s="203">
        <v>0</v>
      </c>
      <c r="G25" s="203">
        <v>0</v>
      </c>
      <c r="H25" s="220">
        <v>264.3</v>
      </c>
      <c r="I25" s="279">
        <v>364.5</v>
      </c>
      <c r="J25" s="204">
        <v>192.2</v>
      </c>
      <c r="K25" s="204">
        <v>2065</v>
      </c>
      <c r="L25" s="204">
        <v>538.9</v>
      </c>
      <c r="M25" s="280">
        <v>2547.9</v>
      </c>
      <c r="N25" s="277">
        <f t="shared" si="2"/>
        <v>995.4</v>
      </c>
      <c r="O25" s="277">
        <f t="shared" si="3"/>
        <v>4977.3999999999996</v>
      </c>
      <c r="P25" s="218">
        <f t="shared" si="4"/>
        <v>0</v>
      </c>
      <c r="Q25" s="218">
        <f t="shared" si="5"/>
        <v>0</v>
      </c>
    </row>
    <row r="26" spans="1:17" ht="15.6">
      <c r="A26" s="286">
        <v>4</v>
      </c>
      <c r="B26" s="274" t="s">
        <v>209</v>
      </c>
      <c r="C26" s="275">
        <f>C28</f>
        <v>1214.5999999999999</v>
      </c>
      <c r="D26" s="201">
        <f>D28</f>
        <v>0</v>
      </c>
      <c r="E26" s="275">
        <f>E28</f>
        <v>1214.5999999999999</v>
      </c>
      <c r="F26" s="281">
        <f t="shared" ref="F26:O26" si="8">F28</f>
        <v>0</v>
      </c>
      <c r="G26" s="281">
        <f t="shared" si="8"/>
        <v>0</v>
      </c>
      <c r="H26" s="282">
        <f t="shared" si="8"/>
        <v>0</v>
      </c>
      <c r="I26" s="283">
        <f t="shared" si="8"/>
        <v>89</v>
      </c>
      <c r="J26" s="281">
        <f t="shared" si="8"/>
        <v>0</v>
      </c>
      <c r="K26" s="281">
        <f t="shared" si="8"/>
        <v>503.9</v>
      </c>
      <c r="L26" s="281">
        <f t="shared" si="8"/>
        <v>0</v>
      </c>
      <c r="M26" s="281">
        <f t="shared" si="8"/>
        <v>621.70000000000005</v>
      </c>
      <c r="N26" s="281">
        <f t="shared" si="8"/>
        <v>0</v>
      </c>
      <c r="O26" s="281">
        <f t="shared" si="8"/>
        <v>1214.5999999999999</v>
      </c>
    </row>
    <row r="27" spans="1:17" ht="15.6">
      <c r="A27" s="291"/>
      <c r="B27" s="278" t="s">
        <v>206</v>
      </c>
      <c r="C27" s="291"/>
      <c r="D27" s="291"/>
      <c r="E27" s="291"/>
      <c r="F27" s="203"/>
      <c r="G27" s="203"/>
      <c r="H27" s="292"/>
      <c r="I27" s="289"/>
      <c r="J27" s="290"/>
      <c r="K27" s="290"/>
      <c r="L27" s="290"/>
      <c r="M27" s="290"/>
      <c r="N27" s="277"/>
      <c r="O27" s="277"/>
    </row>
    <row r="28" spans="1:17" ht="15.6">
      <c r="A28" s="291"/>
      <c r="B28" s="291" t="s">
        <v>210</v>
      </c>
      <c r="C28" s="293">
        <f>D28+E28</f>
        <v>1214.5999999999999</v>
      </c>
      <c r="D28" s="291"/>
      <c r="E28" s="294">
        <v>1214.5999999999999</v>
      </c>
      <c r="F28" s="203">
        <v>0</v>
      </c>
      <c r="G28" s="203">
        <v>0</v>
      </c>
      <c r="H28" s="220">
        <f>D28*26.6/100</f>
        <v>0</v>
      </c>
      <c r="I28" s="279">
        <v>89</v>
      </c>
      <c r="J28" s="204">
        <f>D28*19.312/100</f>
        <v>0</v>
      </c>
      <c r="K28" s="204">
        <v>503.9</v>
      </c>
      <c r="L28" s="204">
        <f>D28*54.132/100</f>
        <v>0</v>
      </c>
      <c r="M28" s="280">
        <v>621.70000000000005</v>
      </c>
      <c r="N28" s="277">
        <f t="shared" si="2"/>
        <v>0</v>
      </c>
      <c r="O28" s="277">
        <f t="shared" si="3"/>
        <v>1214.5999999999999</v>
      </c>
    </row>
    <row r="30" spans="1:17">
      <c r="H30" s="190">
        <f t="shared" ref="H30:M30" si="9">H15+H19+H26+H14</f>
        <v>4400</v>
      </c>
      <c r="I30" s="222">
        <f t="shared" si="9"/>
        <v>5700</v>
      </c>
      <c r="J30" s="190">
        <f t="shared" si="9"/>
        <v>3200</v>
      </c>
      <c r="K30" s="190">
        <f t="shared" si="9"/>
        <v>32300</v>
      </c>
      <c r="L30" s="190">
        <f t="shared" si="9"/>
        <v>8969.2999999999993</v>
      </c>
      <c r="M30" s="190">
        <f t="shared" si="9"/>
        <v>39851.699999999997</v>
      </c>
    </row>
    <row r="33" spans="4:12">
      <c r="D33" s="202">
        <f>D11-16569.3</f>
        <v>0</v>
      </c>
      <c r="E33" s="202">
        <f>E11-77851.7</f>
        <v>0</v>
      </c>
    </row>
    <row r="36" spans="4:12">
      <c r="G36" s="190">
        <v>94421</v>
      </c>
      <c r="I36" s="189">
        <v>10100</v>
      </c>
      <c r="J36" s="189">
        <v>35500</v>
      </c>
      <c r="K36" s="189">
        <v>48821</v>
      </c>
    </row>
    <row r="38" spans="4:12">
      <c r="G38" s="190">
        <v>16569.3</v>
      </c>
      <c r="I38" s="189">
        <v>4400</v>
      </c>
      <c r="J38" s="189">
        <v>3200</v>
      </c>
      <c r="K38" s="189">
        <v>8969.2999999999993</v>
      </c>
    </row>
    <row r="39" spans="4:12">
      <c r="I39" s="189">
        <f>I38/G38*100</f>
        <v>26.555135099249817</v>
      </c>
      <c r="J39" s="189">
        <f>J38/G38*100</f>
        <v>19.312825526727138</v>
      </c>
      <c r="K39" s="189">
        <f>K38/G38*100</f>
        <v>54.132039374023044</v>
      </c>
    </row>
    <row r="41" spans="4:12">
      <c r="I41" s="189">
        <v>26.6</v>
      </c>
      <c r="J41" s="189">
        <v>19.3</v>
      </c>
      <c r="K41" s="189">
        <v>54.1</v>
      </c>
      <c r="L41" s="219"/>
    </row>
    <row r="43" spans="4:12">
      <c r="G43" s="190">
        <v>77851.7</v>
      </c>
      <c r="I43" s="189">
        <v>5700</v>
      </c>
      <c r="J43" s="189">
        <v>32300</v>
      </c>
      <c r="K43" s="189">
        <v>39851.699999999997</v>
      </c>
    </row>
    <row r="45" spans="4:12">
      <c r="I45" s="189">
        <f>I43/G43*100</f>
        <v>7.3216127586167037</v>
      </c>
      <c r="J45" s="189">
        <f>J43/G43*100</f>
        <v>41.489138965494654</v>
      </c>
      <c r="K45" s="189">
        <f>K43/G43*100</f>
        <v>51.189248275888644</v>
      </c>
    </row>
    <row r="47" spans="4:12">
      <c r="I47" s="189">
        <v>7.3</v>
      </c>
      <c r="J47" s="189">
        <v>41.5</v>
      </c>
      <c r="K47" s="189">
        <v>51.2</v>
      </c>
    </row>
  </sheetData>
  <mergeCells count="10">
    <mergeCell ref="F8:G8"/>
    <mergeCell ref="H8:I8"/>
    <mergeCell ref="J8:K8"/>
    <mergeCell ref="L8:M8"/>
    <mergeCell ref="A5:M5"/>
    <mergeCell ref="A3:M3"/>
    <mergeCell ref="A8:A9"/>
    <mergeCell ref="B8:B9"/>
    <mergeCell ref="C8:C9"/>
    <mergeCell ref="D8:E8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C10" sqref="C10"/>
    </sheetView>
  </sheetViews>
  <sheetFormatPr defaultColWidth="9.109375" defaultRowHeight="15"/>
  <cols>
    <col min="1" max="1" width="4.88671875" style="189" customWidth="1"/>
    <col min="2" max="2" width="28.44140625" style="189" customWidth="1"/>
    <col min="3" max="3" width="18.109375" style="189" customWidth="1"/>
    <col min="4" max="5" width="21.5546875" style="189" customWidth="1"/>
    <col min="6" max="6" width="13.6640625" style="190" bestFit="1" customWidth="1"/>
    <col min="7" max="7" width="12.88671875" style="190" bestFit="1" customWidth="1"/>
    <col min="8" max="8" width="13.6640625" style="190" bestFit="1" customWidth="1"/>
    <col min="9" max="11" width="12.33203125" style="189" customWidth="1"/>
    <col min="12" max="12" width="11.109375" style="189" customWidth="1"/>
    <col min="13" max="15" width="12.6640625" style="189" customWidth="1"/>
    <col min="16" max="16" width="11.33203125" style="189" customWidth="1"/>
    <col min="17" max="17" width="12.88671875" style="189" customWidth="1"/>
    <col min="18" max="16384" width="9.109375" style="189"/>
  </cols>
  <sheetData>
    <row r="1" spans="1:17" ht="0.75" customHeight="1"/>
    <row r="2" spans="1:17" ht="18" hidden="1" customHeight="1"/>
    <row r="3" spans="1:17" ht="21.75" customHeight="1">
      <c r="A3" s="1365" t="s">
        <v>199</v>
      </c>
      <c r="B3" s="1365"/>
      <c r="C3" s="1365"/>
      <c r="D3" s="1365"/>
      <c r="E3" s="1365"/>
      <c r="F3" s="1365"/>
      <c r="G3" s="1365"/>
      <c r="H3" s="1365"/>
      <c r="I3" s="1365"/>
      <c r="J3" s="1365"/>
      <c r="K3" s="1365"/>
      <c r="L3" s="1365"/>
      <c r="M3" s="1365"/>
      <c r="N3" s="1365"/>
      <c r="O3" s="1365"/>
      <c r="P3" s="1365"/>
      <c r="Q3" s="1365"/>
    </row>
    <row r="4" spans="1:17" ht="0.75" customHeight="1"/>
    <row r="5" spans="1:17" ht="115.5" customHeight="1">
      <c r="A5" s="1364" t="s">
        <v>217</v>
      </c>
      <c r="B5" s="1364"/>
      <c r="C5" s="1364"/>
      <c r="D5" s="1364"/>
      <c r="E5" s="1364"/>
      <c r="F5" s="1364"/>
      <c r="G5" s="1364"/>
      <c r="H5" s="1364"/>
      <c r="I5" s="1364"/>
      <c r="J5" s="1364"/>
      <c r="K5" s="1364"/>
      <c r="L5" s="1364"/>
      <c r="M5" s="1364"/>
      <c r="N5" s="1364"/>
      <c r="O5" s="1364"/>
      <c r="P5" s="1364"/>
      <c r="Q5" s="1364"/>
    </row>
    <row r="6" spans="1:17" hidden="1">
      <c r="B6" s="191"/>
    </row>
    <row r="7" spans="1:17" ht="15.6" thickBot="1">
      <c r="B7" s="191"/>
      <c r="Q7" s="189" t="s">
        <v>125</v>
      </c>
    </row>
    <row r="8" spans="1:17" s="192" customFormat="1" ht="53.25" customHeight="1">
      <c r="A8" s="1366" t="s">
        <v>201</v>
      </c>
      <c r="B8" s="1368" t="s">
        <v>67</v>
      </c>
      <c r="C8" s="1370" t="s">
        <v>202</v>
      </c>
      <c r="D8" s="1372" t="s">
        <v>203</v>
      </c>
      <c r="E8" s="1373"/>
      <c r="F8" s="1362" t="s">
        <v>213</v>
      </c>
      <c r="G8" s="1363"/>
      <c r="H8" s="1362" t="s">
        <v>214</v>
      </c>
      <c r="I8" s="1363"/>
      <c r="J8" s="1372" t="s">
        <v>219</v>
      </c>
      <c r="K8" s="1373"/>
      <c r="L8" s="1362" t="s">
        <v>215</v>
      </c>
      <c r="M8" s="1363"/>
      <c r="N8" s="1372" t="s">
        <v>218</v>
      </c>
      <c r="O8" s="1373"/>
      <c r="P8" s="1362" t="s">
        <v>216</v>
      </c>
      <c r="Q8" s="1363"/>
    </row>
    <row r="9" spans="1:17" s="192" customFormat="1" ht="45.75" customHeight="1" thickBot="1">
      <c r="A9" s="1367"/>
      <c r="B9" s="1369"/>
      <c r="C9" s="1371"/>
      <c r="D9" s="236" t="s">
        <v>204</v>
      </c>
      <c r="E9" s="237" t="s">
        <v>205</v>
      </c>
      <c r="F9" s="199" t="s">
        <v>211</v>
      </c>
      <c r="G9" s="200" t="s">
        <v>212</v>
      </c>
      <c r="H9" s="199" t="s">
        <v>211</v>
      </c>
      <c r="I9" s="200" t="s">
        <v>212</v>
      </c>
      <c r="J9" s="223" t="s">
        <v>211</v>
      </c>
      <c r="K9" s="224" t="s">
        <v>212</v>
      </c>
      <c r="L9" s="199" t="s">
        <v>211</v>
      </c>
      <c r="M9" s="200" t="s">
        <v>212</v>
      </c>
      <c r="N9" s="223" t="s">
        <v>211</v>
      </c>
      <c r="O9" s="224" t="s">
        <v>212</v>
      </c>
      <c r="P9" s="199" t="s">
        <v>211</v>
      </c>
      <c r="Q9" s="200" t="s">
        <v>212</v>
      </c>
    </row>
    <row r="10" spans="1:17" s="192" customFormat="1" ht="18.75" customHeight="1" thickBot="1">
      <c r="A10" s="295"/>
      <c r="B10" s="296" t="s">
        <v>39</v>
      </c>
      <c r="C10" s="297">
        <f>C11+C14+C18+C25</f>
        <v>94421</v>
      </c>
      <c r="D10" s="298">
        <f>N10+P10</f>
        <v>16569.3</v>
      </c>
      <c r="E10" s="298">
        <f>O10+Q10</f>
        <v>77851.7</v>
      </c>
      <c r="F10" s="298">
        <f>F11+F14+F18+F25</f>
        <v>0</v>
      </c>
      <c r="G10" s="298">
        <f t="shared" ref="G10:Q10" si="0">G11+G14+G18+G25</f>
        <v>0</v>
      </c>
      <c r="H10" s="298">
        <f t="shared" si="0"/>
        <v>4400</v>
      </c>
      <c r="I10" s="298">
        <f t="shared" si="0"/>
        <v>5700</v>
      </c>
      <c r="J10" s="298">
        <f>F10+H10</f>
        <v>4400</v>
      </c>
      <c r="K10" s="298">
        <f>G10+I10</f>
        <v>5700</v>
      </c>
      <c r="L10" s="298">
        <f t="shared" si="0"/>
        <v>3200</v>
      </c>
      <c r="M10" s="298">
        <f t="shared" si="0"/>
        <v>32300</v>
      </c>
      <c r="N10" s="298">
        <f>J10+L10</f>
        <v>7600</v>
      </c>
      <c r="O10" s="298">
        <f>K10+M10</f>
        <v>38000</v>
      </c>
      <c r="P10" s="298">
        <f t="shared" si="0"/>
        <v>8969.2999999999993</v>
      </c>
      <c r="Q10" s="299">
        <f t="shared" si="0"/>
        <v>39851.699999999997</v>
      </c>
    </row>
    <row r="11" spans="1:17" s="192" customFormat="1" ht="19.5" customHeight="1" thickBot="1">
      <c r="A11" s="238">
        <v>1</v>
      </c>
      <c r="B11" s="210" t="s">
        <v>134</v>
      </c>
      <c r="C11" s="254">
        <f>C13</f>
        <v>7159.1</v>
      </c>
      <c r="D11" s="263">
        <f>D13</f>
        <v>0</v>
      </c>
      <c r="E11" s="263">
        <f t="shared" ref="E11:E27" si="1">O11+Q11</f>
        <v>7159.1</v>
      </c>
      <c r="F11" s="230">
        <v>0</v>
      </c>
      <c r="G11" s="230">
        <v>0</v>
      </c>
      <c r="H11" s="230">
        <f t="shared" ref="H11:Q11" si="2">H13</f>
        <v>0</v>
      </c>
      <c r="I11" s="231">
        <f t="shared" si="2"/>
        <v>524.1</v>
      </c>
      <c r="J11" s="233">
        <f t="shared" ref="J11:J27" si="3">F11+H11</f>
        <v>0</v>
      </c>
      <c r="K11" s="233">
        <f t="shared" ref="K11:K27" si="4">G11+I11</f>
        <v>524.1</v>
      </c>
      <c r="L11" s="230">
        <f t="shared" si="2"/>
        <v>0</v>
      </c>
      <c r="M11" s="228">
        <f t="shared" si="2"/>
        <v>2970</v>
      </c>
      <c r="N11" s="233">
        <f t="shared" ref="N11:N27" si="5">J11+L11</f>
        <v>0</v>
      </c>
      <c r="O11" s="233">
        <f t="shared" ref="O11:O27" si="6">K11+M11</f>
        <v>3494.1</v>
      </c>
      <c r="P11" s="230">
        <f t="shared" si="2"/>
        <v>0</v>
      </c>
      <c r="Q11" s="229">
        <f t="shared" si="2"/>
        <v>3665</v>
      </c>
    </row>
    <row r="12" spans="1:17" s="192" customFormat="1" ht="19.5" customHeight="1">
      <c r="A12" s="239"/>
      <c r="B12" s="217" t="s">
        <v>206</v>
      </c>
      <c r="C12" s="255"/>
      <c r="D12" s="264"/>
      <c r="E12" s="264"/>
      <c r="F12" s="227"/>
      <c r="G12" s="227"/>
      <c r="H12" s="227"/>
      <c r="I12" s="227"/>
      <c r="J12" s="234"/>
      <c r="K12" s="234"/>
      <c r="L12" s="227"/>
      <c r="M12" s="227"/>
      <c r="N12" s="234"/>
      <c r="O12" s="234"/>
      <c r="P12" s="227"/>
      <c r="Q12" s="248"/>
    </row>
    <row r="13" spans="1:17" s="192" customFormat="1" ht="19.5" customHeight="1" thickBot="1">
      <c r="A13" s="240">
        <v>1.1000000000000001</v>
      </c>
      <c r="B13" s="216" t="s">
        <v>97</v>
      </c>
      <c r="C13" s="256">
        <f>D13+E13</f>
        <v>7159.1</v>
      </c>
      <c r="D13" s="265">
        <f t="shared" ref="D13:D27" si="7">N13+P13</f>
        <v>0</v>
      </c>
      <c r="E13" s="265">
        <f t="shared" si="1"/>
        <v>7159.1</v>
      </c>
      <c r="F13" s="232">
        <v>0</v>
      </c>
      <c r="G13" s="232">
        <v>0</v>
      </c>
      <c r="H13" s="232">
        <v>0</v>
      </c>
      <c r="I13" s="232">
        <v>524.1</v>
      </c>
      <c r="J13" s="235">
        <f t="shared" si="3"/>
        <v>0</v>
      </c>
      <c r="K13" s="235">
        <f t="shared" si="4"/>
        <v>524.1</v>
      </c>
      <c r="L13" s="232">
        <v>0</v>
      </c>
      <c r="M13" s="232">
        <v>2970</v>
      </c>
      <c r="N13" s="235">
        <f t="shared" si="5"/>
        <v>0</v>
      </c>
      <c r="O13" s="235">
        <f t="shared" si="6"/>
        <v>3494.1</v>
      </c>
      <c r="P13" s="232">
        <v>0</v>
      </c>
      <c r="Q13" s="249">
        <v>3665</v>
      </c>
    </row>
    <row r="14" spans="1:17" s="196" customFormat="1" ht="18" customHeight="1" thickBot="1">
      <c r="A14" s="238">
        <v>2</v>
      </c>
      <c r="B14" s="210" t="s">
        <v>115</v>
      </c>
      <c r="C14" s="254">
        <f>C16+C17</f>
        <v>52506.399999999994</v>
      </c>
      <c r="D14" s="263">
        <f>D16+D17</f>
        <v>9294.4</v>
      </c>
      <c r="E14" s="263">
        <f>E16+E17</f>
        <v>43212</v>
      </c>
      <c r="F14" s="228">
        <f t="shared" ref="F14:Q14" si="8">F16+F17</f>
        <v>0</v>
      </c>
      <c r="G14" s="228">
        <f t="shared" si="8"/>
        <v>0</v>
      </c>
      <c r="H14" s="228">
        <f t="shared" si="8"/>
        <v>2468.1999999999998</v>
      </c>
      <c r="I14" s="228">
        <f t="shared" si="8"/>
        <v>3163.7</v>
      </c>
      <c r="J14" s="233">
        <f t="shared" si="3"/>
        <v>2468.1999999999998</v>
      </c>
      <c r="K14" s="233">
        <f t="shared" si="4"/>
        <v>3163.7</v>
      </c>
      <c r="L14" s="228">
        <f t="shared" si="8"/>
        <v>1795.2</v>
      </c>
      <c r="M14" s="228">
        <f t="shared" si="8"/>
        <v>17928.199999999997</v>
      </c>
      <c r="N14" s="233">
        <f t="shared" si="5"/>
        <v>4263.3999999999996</v>
      </c>
      <c r="O14" s="233">
        <f t="shared" si="6"/>
        <v>21091.899999999998</v>
      </c>
      <c r="P14" s="228">
        <f t="shared" si="8"/>
        <v>5031</v>
      </c>
      <c r="Q14" s="229">
        <f t="shared" si="8"/>
        <v>22120.100000000002</v>
      </c>
    </row>
    <row r="15" spans="1:17" s="192" customFormat="1" ht="15" customHeight="1">
      <c r="A15" s="241"/>
      <c r="B15" s="217" t="s">
        <v>206</v>
      </c>
      <c r="C15" s="257"/>
      <c r="D15" s="264"/>
      <c r="E15" s="264"/>
      <c r="F15" s="227"/>
      <c r="G15" s="227"/>
      <c r="H15" s="227"/>
      <c r="I15" s="227"/>
      <c r="J15" s="234"/>
      <c r="K15" s="234"/>
      <c r="L15" s="227"/>
      <c r="M15" s="227"/>
      <c r="N15" s="234"/>
      <c r="O15" s="234"/>
      <c r="P15" s="227"/>
      <c r="Q15" s="248"/>
    </row>
    <row r="16" spans="1:17" s="192" customFormat="1" ht="19.5" customHeight="1">
      <c r="A16" s="242">
        <v>2.1</v>
      </c>
      <c r="B16" s="215" t="s">
        <v>71</v>
      </c>
      <c r="C16" s="258">
        <f>D16+E16</f>
        <v>4588.2</v>
      </c>
      <c r="D16" s="266">
        <f t="shared" si="7"/>
        <v>1376.2</v>
      </c>
      <c r="E16" s="266">
        <f t="shared" si="1"/>
        <v>3212</v>
      </c>
      <c r="F16" s="226">
        <v>0</v>
      </c>
      <c r="G16" s="226">
        <v>0</v>
      </c>
      <c r="H16" s="226">
        <v>365.5</v>
      </c>
      <c r="I16" s="226">
        <v>235.2</v>
      </c>
      <c r="J16" s="225">
        <f t="shared" si="3"/>
        <v>365.5</v>
      </c>
      <c r="K16" s="225">
        <f t="shared" si="4"/>
        <v>235.2</v>
      </c>
      <c r="L16" s="226">
        <v>265.7</v>
      </c>
      <c r="M16" s="226">
        <v>1332.6</v>
      </c>
      <c r="N16" s="225">
        <f t="shared" si="5"/>
        <v>631.20000000000005</v>
      </c>
      <c r="O16" s="225">
        <f t="shared" si="6"/>
        <v>1567.8</v>
      </c>
      <c r="P16" s="226">
        <v>745</v>
      </c>
      <c r="Q16" s="250">
        <v>1644.2</v>
      </c>
    </row>
    <row r="17" spans="1:17" s="192" customFormat="1" ht="17.25" customHeight="1" thickBot="1">
      <c r="A17" s="243">
        <v>2.2000000000000002</v>
      </c>
      <c r="B17" s="216" t="s">
        <v>207</v>
      </c>
      <c r="C17" s="256">
        <f>D17+E17</f>
        <v>47918.2</v>
      </c>
      <c r="D17" s="265">
        <f t="shared" si="7"/>
        <v>7918.2</v>
      </c>
      <c r="E17" s="265">
        <f t="shared" si="1"/>
        <v>40000</v>
      </c>
      <c r="F17" s="232">
        <v>0</v>
      </c>
      <c r="G17" s="232">
        <v>0</v>
      </c>
      <c r="H17" s="232">
        <v>2102.6999999999998</v>
      </c>
      <c r="I17" s="232">
        <v>2928.5</v>
      </c>
      <c r="J17" s="235">
        <f t="shared" si="3"/>
        <v>2102.6999999999998</v>
      </c>
      <c r="K17" s="235">
        <f t="shared" si="4"/>
        <v>2928.5</v>
      </c>
      <c r="L17" s="232">
        <v>1529.5</v>
      </c>
      <c r="M17" s="232">
        <v>16595.599999999999</v>
      </c>
      <c r="N17" s="235">
        <f t="shared" si="5"/>
        <v>3632.2</v>
      </c>
      <c r="O17" s="235">
        <f t="shared" si="6"/>
        <v>19524.099999999999</v>
      </c>
      <c r="P17" s="232">
        <v>4286</v>
      </c>
      <c r="Q17" s="249">
        <v>20475.900000000001</v>
      </c>
    </row>
    <row r="18" spans="1:17" ht="19.5" customHeight="1" thickBot="1">
      <c r="A18" s="244">
        <v>3</v>
      </c>
      <c r="B18" s="210" t="s">
        <v>208</v>
      </c>
      <c r="C18" s="254">
        <f t="shared" ref="C18:Q18" si="9">C20+C21+C22+C23+C24</f>
        <v>33540.899999999994</v>
      </c>
      <c r="D18" s="263">
        <f>D20+D21+D22+D23+D24</f>
        <v>7274.9</v>
      </c>
      <c r="E18" s="263">
        <f>E20+E21+E22+E23+E24</f>
        <v>26266</v>
      </c>
      <c r="F18" s="228">
        <f t="shared" si="9"/>
        <v>0</v>
      </c>
      <c r="G18" s="228">
        <f t="shared" si="9"/>
        <v>0</v>
      </c>
      <c r="H18" s="228">
        <f t="shared" si="9"/>
        <v>1931.8</v>
      </c>
      <c r="I18" s="228">
        <f t="shared" si="9"/>
        <v>1923.2</v>
      </c>
      <c r="J18" s="233">
        <f t="shared" si="3"/>
        <v>1931.8</v>
      </c>
      <c r="K18" s="233">
        <f t="shared" si="4"/>
        <v>1923.2</v>
      </c>
      <c r="L18" s="228">
        <f t="shared" si="9"/>
        <v>1404.8</v>
      </c>
      <c r="M18" s="228">
        <f t="shared" si="9"/>
        <v>10897.9</v>
      </c>
      <c r="N18" s="233">
        <f t="shared" si="5"/>
        <v>3336.6</v>
      </c>
      <c r="O18" s="233">
        <f t="shared" si="6"/>
        <v>12821.1</v>
      </c>
      <c r="P18" s="228">
        <f t="shared" si="9"/>
        <v>3938.2999999999997</v>
      </c>
      <c r="Q18" s="229">
        <f t="shared" si="9"/>
        <v>13444.9</v>
      </c>
    </row>
    <row r="19" spans="1:17" ht="18" customHeight="1">
      <c r="A19" s="245"/>
      <c r="B19" s="217" t="s">
        <v>206</v>
      </c>
      <c r="C19" s="259"/>
      <c r="D19" s="264"/>
      <c r="E19" s="264"/>
      <c r="F19" s="227"/>
      <c r="G19" s="227"/>
      <c r="H19" s="227"/>
      <c r="I19" s="227"/>
      <c r="J19" s="234"/>
      <c r="K19" s="234"/>
      <c r="L19" s="227"/>
      <c r="M19" s="227"/>
      <c r="N19" s="234"/>
      <c r="O19" s="234"/>
      <c r="P19" s="227"/>
      <c r="Q19" s="248"/>
    </row>
    <row r="20" spans="1:17" ht="18" customHeight="1">
      <c r="A20" s="246">
        <v>3.1</v>
      </c>
      <c r="B20" s="215" t="s">
        <v>80</v>
      </c>
      <c r="C20" s="258">
        <f>D20+E20</f>
        <v>6338.6</v>
      </c>
      <c r="D20" s="266">
        <f t="shared" si="7"/>
        <v>0</v>
      </c>
      <c r="E20" s="266">
        <f t="shared" si="1"/>
        <v>6338.6</v>
      </c>
      <c r="F20" s="226">
        <v>0</v>
      </c>
      <c r="G20" s="226">
        <v>0</v>
      </c>
      <c r="H20" s="226">
        <v>0</v>
      </c>
      <c r="I20" s="226">
        <v>464.1</v>
      </c>
      <c r="J20" s="225">
        <f t="shared" si="3"/>
        <v>0</v>
      </c>
      <c r="K20" s="225">
        <f t="shared" si="4"/>
        <v>464.1</v>
      </c>
      <c r="L20" s="226">
        <v>0</v>
      </c>
      <c r="M20" s="226">
        <v>2629.8</v>
      </c>
      <c r="N20" s="225">
        <f t="shared" si="5"/>
        <v>0</v>
      </c>
      <c r="O20" s="225">
        <f t="shared" si="6"/>
        <v>3093.9</v>
      </c>
      <c r="P20" s="226">
        <v>0</v>
      </c>
      <c r="Q20" s="250">
        <v>3244.7</v>
      </c>
    </row>
    <row r="21" spans="1:17" ht="18" customHeight="1">
      <c r="A21" s="246">
        <v>3.2</v>
      </c>
      <c r="B21" s="215" t="s">
        <v>79</v>
      </c>
      <c r="C21" s="258">
        <f>D21+E21</f>
        <v>16500</v>
      </c>
      <c r="D21" s="266">
        <f t="shared" si="7"/>
        <v>2250</v>
      </c>
      <c r="E21" s="266">
        <f t="shared" si="1"/>
        <v>14250</v>
      </c>
      <c r="F21" s="226">
        <v>0</v>
      </c>
      <c r="G21" s="226">
        <v>0</v>
      </c>
      <c r="H21" s="226">
        <v>597.5</v>
      </c>
      <c r="I21" s="226">
        <v>1043.3</v>
      </c>
      <c r="J21" s="225">
        <f t="shared" si="3"/>
        <v>597.5</v>
      </c>
      <c r="K21" s="225">
        <f t="shared" si="4"/>
        <v>1043.3</v>
      </c>
      <c r="L21" s="226">
        <v>434.5</v>
      </c>
      <c r="M21" s="226">
        <v>5912.7</v>
      </c>
      <c r="N21" s="225">
        <f t="shared" si="5"/>
        <v>1032</v>
      </c>
      <c r="O21" s="225">
        <f t="shared" si="6"/>
        <v>6956</v>
      </c>
      <c r="P21" s="226">
        <v>1218</v>
      </c>
      <c r="Q21" s="250">
        <v>7294</v>
      </c>
    </row>
    <row r="22" spans="1:17" ht="18" customHeight="1">
      <c r="A22" s="246">
        <v>3.3</v>
      </c>
      <c r="B22" s="215" t="s">
        <v>83</v>
      </c>
      <c r="C22" s="258">
        <f>D22+E22</f>
        <v>3340.3</v>
      </c>
      <c r="D22" s="266">
        <f t="shared" si="7"/>
        <v>3340.3</v>
      </c>
      <c r="E22" s="266">
        <f t="shared" si="1"/>
        <v>0</v>
      </c>
      <c r="F22" s="226">
        <v>0</v>
      </c>
      <c r="G22" s="226">
        <v>0</v>
      </c>
      <c r="H22" s="226">
        <v>887</v>
      </c>
      <c r="I22" s="226">
        <v>0</v>
      </c>
      <c r="J22" s="225">
        <f t="shared" si="3"/>
        <v>887</v>
      </c>
      <c r="K22" s="225">
        <f t="shared" si="4"/>
        <v>0</v>
      </c>
      <c r="L22" s="226">
        <v>645.1</v>
      </c>
      <c r="M22" s="226">
        <v>0</v>
      </c>
      <c r="N22" s="225">
        <f t="shared" si="5"/>
        <v>1532.1</v>
      </c>
      <c r="O22" s="225">
        <f t="shared" si="6"/>
        <v>0</v>
      </c>
      <c r="P22" s="226">
        <v>1808.2</v>
      </c>
      <c r="Q22" s="250">
        <v>0</v>
      </c>
    </row>
    <row r="23" spans="1:17" ht="18" customHeight="1">
      <c r="A23" s="246">
        <v>3.4</v>
      </c>
      <c r="B23" s="215" t="s">
        <v>84</v>
      </c>
      <c r="C23" s="258">
        <f>D23+E23</f>
        <v>1389.2</v>
      </c>
      <c r="D23" s="266">
        <f t="shared" si="7"/>
        <v>689.2</v>
      </c>
      <c r="E23" s="266">
        <f t="shared" si="1"/>
        <v>700</v>
      </c>
      <c r="F23" s="226">
        <v>0</v>
      </c>
      <c r="G23" s="226">
        <v>0</v>
      </c>
      <c r="H23" s="226">
        <v>183</v>
      </c>
      <c r="I23" s="226">
        <v>51.3</v>
      </c>
      <c r="J23" s="225">
        <f t="shared" si="3"/>
        <v>183</v>
      </c>
      <c r="K23" s="225">
        <f t="shared" si="4"/>
        <v>51.3</v>
      </c>
      <c r="L23" s="226">
        <v>133</v>
      </c>
      <c r="M23" s="226">
        <v>290.39999999999998</v>
      </c>
      <c r="N23" s="225">
        <f t="shared" si="5"/>
        <v>316</v>
      </c>
      <c r="O23" s="225">
        <f t="shared" si="6"/>
        <v>341.7</v>
      </c>
      <c r="P23" s="226">
        <v>373.2</v>
      </c>
      <c r="Q23" s="250">
        <v>358.3</v>
      </c>
    </row>
    <row r="24" spans="1:17" ht="18" customHeight="1" thickBot="1">
      <c r="A24" s="247">
        <v>3.5</v>
      </c>
      <c r="B24" s="216" t="s">
        <v>82</v>
      </c>
      <c r="C24" s="256">
        <f>D24+E24</f>
        <v>5972.7999999999993</v>
      </c>
      <c r="D24" s="265">
        <f t="shared" si="7"/>
        <v>995.4</v>
      </c>
      <c r="E24" s="265">
        <f t="shared" si="1"/>
        <v>4977.3999999999996</v>
      </c>
      <c r="F24" s="232">
        <v>0</v>
      </c>
      <c r="G24" s="232">
        <v>0</v>
      </c>
      <c r="H24" s="232">
        <v>264.3</v>
      </c>
      <c r="I24" s="232">
        <v>364.5</v>
      </c>
      <c r="J24" s="235">
        <f t="shared" si="3"/>
        <v>264.3</v>
      </c>
      <c r="K24" s="235">
        <f t="shared" si="4"/>
        <v>364.5</v>
      </c>
      <c r="L24" s="232">
        <v>192.2</v>
      </c>
      <c r="M24" s="232">
        <v>2065</v>
      </c>
      <c r="N24" s="235">
        <f t="shared" si="5"/>
        <v>456.5</v>
      </c>
      <c r="O24" s="235">
        <f t="shared" si="6"/>
        <v>2429.5</v>
      </c>
      <c r="P24" s="232">
        <v>538.9</v>
      </c>
      <c r="Q24" s="249">
        <v>2547.9</v>
      </c>
    </row>
    <row r="25" spans="1:17" ht="18.600000000000001" thickBot="1">
      <c r="A25" s="244">
        <v>4</v>
      </c>
      <c r="B25" s="210" t="s">
        <v>209</v>
      </c>
      <c r="C25" s="254">
        <f>C27</f>
        <v>1214.5999999999999</v>
      </c>
      <c r="D25" s="263">
        <f>D27</f>
        <v>0</v>
      </c>
      <c r="E25" s="263">
        <f>E27</f>
        <v>1214.5999999999999</v>
      </c>
      <c r="F25" s="228">
        <f t="shared" ref="F25:Q25" si="10">F27</f>
        <v>0</v>
      </c>
      <c r="G25" s="228">
        <f t="shared" si="10"/>
        <v>0</v>
      </c>
      <c r="H25" s="228">
        <f t="shared" si="10"/>
        <v>0</v>
      </c>
      <c r="I25" s="228">
        <f t="shared" si="10"/>
        <v>89</v>
      </c>
      <c r="J25" s="233">
        <f t="shared" si="3"/>
        <v>0</v>
      </c>
      <c r="K25" s="233">
        <f t="shared" si="4"/>
        <v>89</v>
      </c>
      <c r="L25" s="228">
        <f t="shared" si="10"/>
        <v>0</v>
      </c>
      <c r="M25" s="228">
        <f t="shared" si="10"/>
        <v>503.9</v>
      </c>
      <c r="N25" s="233">
        <f t="shared" si="5"/>
        <v>0</v>
      </c>
      <c r="O25" s="233">
        <f t="shared" si="6"/>
        <v>592.9</v>
      </c>
      <c r="P25" s="228">
        <f t="shared" si="10"/>
        <v>0</v>
      </c>
      <c r="Q25" s="229">
        <f t="shared" si="10"/>
        <v>621.70000000000005</v>
      </c>
    </row>
    <row r="26" spans="1:17" ht="17.399999999999999">
      <c r="A26" s="261"/>
      <c r="B26" s="217" t="s">
        <v>206</v>
      </c>
      <c r="C26" s="260"/>
      <c r="D26" s="264"/>
      <c r="E26" s="264"/>
      <c r="F26" s="227"/>
      <c r="G26" s="227"/>
      <c r="H26" s="227"/>
      <c r="I26" s="227"/>
      <c r="J26" s="234"/>
      <c r="K26" s="234"/>
      <c r="L26" s="227"/>
      <c r="M26" s="227"/>
      <c r="N26" s="234"/>
      <c r="O26" s="234"/>
      <c r="P26" s="227"/>
      <c r="Q26" s="248"/>
    </row>
    <row r="27" spans="1:17" ht="18" thickBot="1">
      <c r="A27" s="212">
        <v>4.0999999999999996</v>
      </c>
      <c r="B27" s="198" t="s">
        <v>210</v>
      </c>
      <c r="C27" s="262">
        <f>D27+E27</f>
        <v>1214.5999999999999</v>
      </c>
      <c r="D27" s="267">
        <f t="shared" si="7"/>
        <v>0</v>
      </c>
      <c r="E27" s="267">
        <f t="shared" si="1"/>
        <v>1214.5999999999999</v>
      </c>
      <c r="F27" s="252">
        <v>0</v>
      </c>
      <c r="G27" s="252">
        <v>0</v>
      </c>
      <c r="H27" s="252">
        <v>0</v>
      </c>
      <c r="I27" s="252">
        <v>89</v>
      </c>
      <c r="J27" s="251">
        <f t="shared" si="3"/>
        <v>0</v>
      </c>
      <c r="K27" s="251">
        <f t="shared" si="4"/>
        <v>89</v>
      </c>
      <c r="L27" s="252">
        <v>0</v>
      </c>
      <c r="M27" s="252">
        <v>503.9</v>
      </c>
      <c r="N27" s="251">
        <f t="shared" si="5"/>
        <v>0</v>
      </c>
      <c r="O27" s="251">
        <f t="shared" si="6"/>
        <v>592.9</v>
      </c>
      <c r="P27" s="252">
        <v>0</v>
      </c>
      <c r="Q27" s="253">
        <v>621.70000000000005</v>
      </c>
    </row>
  </sheetData>
  <mergeCells count="12">
    <mergeCell ref="J8:K8"/>
    <mergeCell ref="N8:O8"/>
    <mergeCell ref="D8:E8"/>
    <mergeCell ref="A3:Q3"/>
    <mergeCell ref="A5:Q5"/>
    <mergeCell ref="A8:A9"/>
    <mergeCell ref="B8:B9"/>
    <mergeCell ref="C8:C9"/>
    <mergeCell ref="F8:G8"/>
    <mergeCell ref="H8:I8"/>
    <mergeCell ref="L8:M8"/>
    <mergeCell ref="P8:Q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topLeftCell="B1" zoomScaleNormal="100" workbookViewId="0">
      <pane ySplit="7" topLeftCell="A8" activePane="bottomLeft" state="frozen"/>
      <selection activeCell="B1" sqref="B1"/>
      <selection pane="bottomLeft" activeCell="J14" sqref="J14"/>
    </sheetView>
  </sheetViews>
  <sheetFormatPr defaultColWidth="9.109375" defaultRowHeight="13.8"/>
  <cols>
    <col min="1" max="1" width="0.88671875" style="300" hidden="1" customWidth="1"/>
    <col min="2" max="2" width="39.88671875" style="302" customWidth="1"/>
    <col min="3" max="3" width="5.5546875" style="302" customWidth="1"/>
    <col min="4" max="4" width="6.44140625" style="302" customWidth="1"/>
    <col min="5" max="5" width="7.44140625" style="302" customWidth="1"/>
    <col min="6" max="6" width="9.33203125" style="302" bestFit="1" customWidth="1"/>
    <col min="7" max="7" width="8.88671875" style="302" customWidth="1"/>
    <col min="8" max="8" width="9.109375" style="302" customWidth="1"/>
    <col min="9" max="9" width="10.44140625" style="302" customWidth="1"/>
    <col min="10" max="10" width="10" style="302" bestFit="1" customWidth="1"/>
    <col min="11" max="11" width="10" style="302" customWidth="1"/>
    <col min="12" max="12" width="11.33203125" style="302" customWidth="1"/>
    <col min="13" max="13" width="9.5546875" style="302" customWidth="1"/>
    <col min="14" max="14" width="9.88671875" style="302" bestFit="1" customWidth="1"/>
    <col min="15" max="15" width="12.6640625" style="302" customWidth="1"/>
    <col min="16" max="16" width="12.109375" style="302" customWidth="1"/>
    <col min="17" max="17" width="12.6640625" style="302" customWidth="1"/>
    <col min="18" max="18" width="17" style="380" customWidth="1"/>
    <col min="19" max="19" width="9.109375" style="302"/>
    <col min="20" max="20" width="12" style="302" customWidth="1"/>
    <col min="21" max="16384" width="9.109375" style="302"/>
  </cols>
  <sheetData>
    <row r="1" spans="1:20" ht="15.6">
      <c r="B1" s="1243" t="s">
        <v>271</v>
      </c>
      <c r="C1" s="1243"/>
      <c r="D1" s="1243"/>
      <c r="E1" s="1243"/>
      <c r="F1" s="1243"/>
      <c r="G1" s="1243"/>
      <c r="H1" s="1243"/>
      <c r="I1" s="1243"/>
      <c r="J1" s="1243"/>
      <c r="K1" s="1243"/>
      <c r="L1" s="1243"/>
      <c r="M1" s="1243"/>
      <c r="N1" s="1243"/>
      <c r="O1" s="1243"/>
      <c r="P1" s="1243"/>
      <c r="Q1" s="1243"/>
      <c r="R1" s="1243"/>
    </row>
    <row r="2" spans="1:20" ht="15.6">
      <c r="B2" s="1243" t="s">
        <v>317</v>
      </c>
      <c r="C2" s="1243"/>
      <c r="D2" s="1243"/>
      <c r="E2" s="1243"/>
      <c r="F2" s="1243"/>
      <c r="G2" s="1243"/>
      <c r="H2" s="1243"/>
      <c r="I2" s="1243"/>
      <c r="J2" s="1243"/>
      <c r="K2" s="1243"/>
      <c r="L2" s="1243"/>
      <c r="M2" s="1243"/>
      <c r="N2" s="1243"/>
      <c r="O2" s="1243"/>
      <c r="P2" s="1243"/>
      <c r="Q2" s="1243"/>
      <c r="R2" s="608"/>
    </row>
    <row r="3" spans="1:20" ht="15"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87" t="s">
        <v>288</v>
      </c>
    </row>
    <row r="4" spans="1:20" ht="21" customHeight="1">
      <c r="B4" s="1241" t="s">
        <v>221</v>
      </c>
      <c r="C4" s="1241" t="s">
        <v>272</v>
      </c>
      <c r="D4" s="1241"/>
      <c r="E4" s="1241"/>
      <c r="F4" s="1241" t="s">
        <v>371</v>
      </c>
      <c r="G4" s="1241"/>
      <c r="H4" s="1241"/>
      <c r="I4" s="1241"/>
      <c r="J4" s="1241"/>
      <c r="K4" s="1241"/>
      <c r="L4" s="1241"/>
      <c r="M4" s="1241"/>
      <c r="N4" s="1241"/>
      <c r="O4" s="1241"/>
      <c r="P4" s="1241" t="s">
        <v>226</v>
      </c>
      <c r="Q4" s="1241"/>
      <c r="R4" s="1241" t="s">
        <v>274</v>
      </c>
    </row>
    <row r="5" spans="1:20" ht="81" customHeight="1">
      <c r="B5" s="1241"/>
      <c r="C5" s="1241"/>
      <c r="D5" s="1241"/>
      <c r="E5" s="1241"/>
      <c r="F5" s="1241" t="s">
        <v>222</v>
      </c>
      <c r="G5" s="1241"/>
      <c r="H5" s="1241"/>
      <c r="I5" s="1241" t="s">
        <v>223</v>
      </c>
      <c r="J5" s="1241"/>
      <c r="K5" s="1241"/>
      <c r="L5" s="1241" t="s">
        <v>224</v>
      </c>
      <c r="M5" s="1241"/>
      <c r="N5" s="1241"/>
      <c r="O5" s="304" t="s">
        <v>225</v>
      </c>
      <c r="P5" s="1241"/>
      <c r="Q5" s="1241"/>
      <c r="R5" s="1241"/>
    </row>
    <row r="6" spans="1:20" ht="1.8" customHeight="1">
      <c r="B6" s="1241"/>
      <c r="C6" s="1241"/>
      <c r="D6" s="1241"/>
      <c r="E6" s="1241"/>
      <c r="F6" s="1241">
        <v>2012</v>
      </c>
      <c r="G6" s="1241">
        <v>2013</v>
      </c>
      <c r="H6" s="1241">
        <v>2014</v>
      </c>
      <c r="I6" s="1241">
        <v>2012</v>
      </c>
      <c r="J6" s="1241">
        <v>2013</v>
      </c>
      <c r="K6" s="1241">
        <v>2014</v>
      </c>
      <c r="L6" s="1241">
        <v>2012</v>
      </c>
      <c r="M6" s="1241">
        <v>2013</v>
      </c>
      <c r="N6" s="1241">
        <v>2014</v>
      </c>
      <c r="O6" s="1242" t="s">
        <v>273</v>
      </c>
      <c r="P6" s="1241">
        <v>2014</v>
      </c>
      <c r="Q6" s="1241">
        <v>2015</v>
      </c>
      <c r="R6" s="1241"/>
    </row>
    <row r="7" spans="1:20" ht="30.6" customHeight="1">
      <c r="B7" s="1241"/>
      <c r="C7" s="303" t="s">
        <v>228</v>
      </c>
      <c r="D7" s="303" t="s">
        <v>229</v>
      </c>
      <c r="E7" s="303" t="s">
        <v>230</v>
      </c>
      <c r="F7" s="1241"/>
      <c r="G7" s="1241"/>
      <c r="H7" s="1241"/>
      <c r="I7" s="1241"/>
      <c r="J7" s="1241"/>
      <c r="K7" s="1241"/>
      <c r="L7" s="1241"/>
      <c r="M7" s="1241"/>
      <c r="N7" s="1241"/>
      <c r="O7" s="1242"/>
      <c r="P7" s="1241"/>
      <c r="Q7" s="1241"/>
      <c r="R7" s="1241"/>
    </row>
    <row r="8" spans="1:20" ht="18" thickBot="1">
      <c r="A8" s="300">
        <v>1</v>
      </c>
      <c r="B8" s="306" t="s">
        <v>227</v>
      </c>
      <c r="C8" s="307"/>
      <c r="D8" s="307"/>
      <c r="E8" s="307"/>
      <c r="F8" s="308">
        <f>SUM(F9:F14)</f>
        <v>580.5</v>
      </c>
      <c r="G8" s="308">
        <f t="shared" ref="G8:N8" si="0">SUM(G9:G14)</f>
        <v>572.82000000000005</v>
      </c>
      <c r="H8" s="308">
        <f t="shared" si="0"/>
        <v>825.50400000000002</v>
      </c>
      <c r="I8" s="308">
        <f t="shared" si="0"/>
        <v>18928.599999999999</v>
      </c>
      <c r="J8" s="308">
        <f t="shared" si="0"/>
        <v>13903.7</v>
      </c>
      <c r="K8" s="308">
        <f t="shared" si="0"/>
        <v>8945.9150000000009</v>
      </c>
      <c r="L8" s="308">
        <f t="shared" si="0"/>
        <v>17258.8</v>
      </c>
      <c r="M8" s="308">
        <f t="shared" si="0"/>
        <v>18482.699999999997</v>
      </c>
      <c r="N8" s="308">
        <f t="shared" si="0"/>
        <v>20966.007000000001</v>
      </c>
      <c r="O8" s="309">
        <f>SUM(F8:N8)</f>
        <v>100464.54599999999</v>
      </c>
      <c r="P8" s="309">
        <v>0</v>
      </c>
      <c r="Q8" s="309">
        <v>94136.4</v>
      </c>
      <c r="R8" s="310">
        <f>O8-P8-Q8</f>
        <v>6328.1459999999934</v>
      </c>
      <c r="T8" s="311"/>
    </row>
    <row r="9" spans="1:20" ht="15.6">
      <c r="B9" s="312" t="s">
        <v>231</v>
      </c>
      <c r="C9" s="313">
        <v>100</v>
      </c>
      <c r="D9" s="313">
        <v>100</v>
      </c>
      <c r="E9" s="313">
        <v>100</v>
      </c>
      <c r="F9" s="314">
        <v>73.7</v>
      </c>
      <c r="G9" s="314">
        <v>83.5</v>
      </c>
      <c r="H9" s="314">
        <v>102.087</v>
      </c>
      <c r="I9" s="314">
        <v>7172.2</v>
      </c>
      <c r="J9" s="314">
        <v>6093.7</v>
      </c>
      <c r="K9" s="314">
        <v>6307.6480000000001</v>
      </c>
      <c r="L9" s="314">
        <v>14.7</v>
      </c>
      <c r="M9" s="314">
        <v>23.3</v>
      </c>
      <c r="N9" s="314">
        <v>19.446999999999999</v>
      </c>
      <c r="O9" s="314">
        <f t="shared" ref="O9:O14" si="1">SUM(F9:H9)*C9/100+SUM(I9:K9)*D9/100+SUM(L9:N9)*E9/100</f>
        <v>19890.281999999999</v>
      </c>
      <c r="P9" s="315"/>
      <c r="Q9" s="315"/>
      <c r="R9" s="316"/>
      <c r="T9" s="311"/>
    </row>
    <row r="10" spans="1:20" ht="18" customHeight="1">
      <c r="B10" s="317" t="s">
        <v>232</v>
      </c>
      <c r="C10" s="313">
        <v>100</v>
      </c>
      <c r="D10" s="313">
        <v>100</v>
      </c>
      <c r="E10" s="313">
        <v>100</v>
      </c>
      <c r="F10" s="314">
        <v>11.6</v>
      </c>
      <c r="G10" s="314">
        <v>11.5</v>
      </c>
      <c r="H10" s="314">
        <f>'Sheet 1'!H30</f>
        <v>11.446999999999999</v>
      </c>
      <c r="I10" s="314">
        <v>175.8</v>
      </c>
      <c r="J10" s="314">
        <v>112.2</v>
      </c>
      <c r="K10" s="314">
        <f>'Sheet 1'!K7</f>
        <v>88.1</v>
      </c>
      <c r="L10" s="314">
        <v>15.3</v>
      </c>
      <c r="M10" s="314">
        <v>10.7</v>
      </c>
      <c r="N10" s="314">
        <f>'Sheet 1'!E30</f>
        <v>15.76</v>
      </c>
      <c r="O10" s="314">
        <f t="shared" si="1"/>
        <v>452.40700000000004</v>
      </c>
      <c r="P10" s="315"/>
      <c r="Q10" s="315"/>
      <c r="R10" s="316"/>
      <c r="T10" s="311"/>
    </row>
    <row r="11" spans="1:20" ht="13.5" customHeight="1">
      <c r="B11" s="317" t="s">
        <v>233</v>
      </c>
      <c r="C11" s="313">
        <v>100</v>
      </c>
      <c r="D11" s="313">
        <v>100</v>
      </c>
      <c r="E11" s="313">
        <v>100</v>
      </c>
      <c r="F11" s="318">
        <v>0</v>
      </c>
      <c r="G11" s="318">
        <v>0</v>
      </c>
      <c r="H11" s="314">
        <f>'Sheet 1'!H32</f>
        <v>0</v>
      </c>
      <c r="I11" s="314">
        <v>154.6</v>
      </c>
      <c r="J11" s="314">
        <v>89.8</v>
      </c>
      <c r="K11" s="314">
        <f>'Sheet 1'!K9</f>
        <v>81</v>
      </c>
      <c r="L11" s="314">
        <v>3.7</v>
      </c>
      <c r="M11" s="314">
        <v>0.9</v>
      </c>
      <c r="N11" s="314">
        <f>'Sheet 1'!E32</f>
        <v>17.2</v>
      </c>
      <c r="O11" s="314">
        <f t="shared" si="1"/>
        <v>347.2</v>
      </c>
      <c r="P11" s="315"/>
      <c r="Q11" s="315"/>
      <c r="R11" s="316"/>
      <c r="T11" s="311"/>
    </row>
    <row r="12" spans="1:20" ht="18" customHeight="1">
      <c r="B12" s="317" t="s">
        <v>269</v>
      </c>
      <c r="C12" s="313">
        <v>100</v>
      </c>
      <c r="D12" s="313">
        <v>100</v>
      </c>
      <c r="E12" s="313">
        <v>100</v>
      </c>
      <c r="F12" s="314">
        <v>91.5</v>
      </c>
      <c r="G12" s="314">
        <v>147.1</v>
      </c>
      <c r="H12" s="314">
        <f>'Sheet 1'!H31</f>
        <v>227.001</v>
      </c>
      <c r="I12" s="314">
        <v>1388.2</v>
      </c>
      <c r="J12" s="314">
        <v>1523.8</v>
      </c>
      <c r="K12" s="314">
        <f>'Sheet 1'!K8</f>
        <v>1643.2860000000001</v>
      </c>
      <c r="L12" s="314">
        <v>5184</v>
      </c>
      <c r="M12" s="314">
        <v>6290.4</v>
      </c>
      <c r="N12" s="314">
        <f>'Sheet 1'!E31</f>
        <v>5913.6</v>
      </c>
      <c r="O12" s="314">
        <f t="shared" si="1"/>
        <v>22408.886999999999</v>
      </c>
      <c r="P12" s="315"/>
      <c r="Q12" s="315"/>
      <c r="R12" s="316"/>
      <c r="T12" s="311"/>
    </row>
    <row r="13" spans="1:20" ht="14.25" customHeight="1">
      <c r="B13" s="317" t="s">
        <v>330</v>
      </c>
      <c r="C13" s="313">
        <v>100</v>
      </c>
      <c r="D13" s="313">
        <v>100</v>
      </c>
      <c r="E13" s="313">
        <v>100</v>
      </c>
      <c r="F13" s="314">
        <v>403.7</v>
      </c>
      <c r="G13" s="314">
        <v>330.72</v>
      </c>
      <c r="H13" s="314">
        <f>'Sheet 1'!H29</f>
        <v>484.96899999999999</v>
      </c>
      <c r="I13" s="314">
        <v>10037.799999999999</v>
      </c>
      <c r="J13" s="314">
        <v>6084.2</v>
      </c>
      <c r="K13" s="314">
        <f>'Sheet 1'!K6</f>
        <v>825.88099999999997</v>
      </c>
      <c r="L13" s="314">
        <v>12041.1</v>
      </c>
      <c r="M13" s="314">
        <v>12157.4</v>
      </c>
      <c r="N13" s="314">
        <f>'Sheet 1'!E29</f>
        <v>15000</v>
      </c>
      <c r="O13" s="314">
        <f t="shared" si="1"/>
        <v>57365.770000000004</v>
      </c>
      <c r="P13" s="319"/>
      <c r="Q13" s="319"/>
      <c r="R13" s="316"/>
      <c r="T13" s="311"/>
    </row>
    <row r="14" spans="1:20" ht="17.25" customHeight="1" thickBot="1">
      <c r="B14" s="320" t="s">
        <v>234</v>
      </c>
      <c r="C14" s="313">
        <v>100</v>
      </c>
      <c r="D14" s="313">
        <v>100</v>
      </c>
      <c r="E14" s="313">
        <v>100</v>
      </c>
      <c r="F14" s="318">
        <v>0</v>
      </c>
      <c r="G14" s="318">
        <v>0</v>
      </c>
      <c r="H14" s="314">
        <f>'Sheet 1'!H45</f>
        <v>0</v>
      </c>
      <c r="I14" s="314">
        <v>0</v>
      </c>
      <c r="J14" s="314">
        <v>0</v>
      </c>
      <c r="K14" s="314">
        <f>'Sheet 1'!K22</f>
        <v>0</v>
      </c>
      <c r="L14" s="314">
        <v>0</v>
      </c>
      <c r="M14" s="314">
        <v>0</v>
      </c>
      <c r="N14" s="314">
        <f>'Sheet 1'!E45</f>
        <v>0</v>
      </c>
      <c r="O14" s="314">
        <f t="shared" si="1"/>
        <v>0</v>
      </c>
      <c r="P14" s="319"/>
      <c r="Q14" s="319"/>
      <c r="R14" s="316"/>
      <c r="T14" s="311"/>
    </row>
    <row r="15" spans="1:20" ht="17.25" customHeight="1" thickBot="1">
      <c r="B15" s="321" t="s">
        <v>235</v>
      </c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3">
        <f>O16+O18+O20+O22+O24+O26+O28</f>
        <v>284002.48369999998</v>
      </c>
      <c r="P15" s="323">
        <f>P16+P18+P20+P22+P24+P26+P28</f>
        <v>216688.40000000002</v>
      </c>
      <c r="Q15" s="323">
        <f>Q16+Q18+Q20+Q22+Q24+Q26+Q28</f>
        <v>150509.59999999998</v>
      </c>
      <c r="R15" s="324">
        <f>R16+R18+R20+R22+R24+R26+R28</f>
        <v>-83195.516300000003</v>
      </c>
      <c r="T15" s="311"/>
    </row>
    <row r="16" spans="1:20" ht="15.6">
      <c r="A16" s="300">
        <v>2</v>
      </c>
      <c r="B16" s="325" t="s">
        <v>236</v>
      </c>
      <c r="C16" s="326"/>
      <c r="D16" s="326"/>
      <c r="E16" s="326"/>
      <c r="F16" s="327"/>
      <c r="G16" s="327"/>
      <c r="H16" s="327"/>
      <c r="I16" s="327"/>
      <c r="J16" s="327"/>
      <c r="K16" s="327"/>
      <c r="L16" s="327"/>
      <c r="M16" s="327"/>
      <c r="N16" s="327"/>
      <c r="O16" s="327">
        <f>O17</f>
        <v>113281.30526000001</v>
      </c>
      <c r="P16" s="319">
        <v>114590.2</v>
      </c>
      <c r="Q16" s="319">
        <v>94677</v>
      </c>
      <c r="R16" s="328">
        <f>O16-P16-Q16</f>
        <v>-95985.894739999989</v>
      </c>
      <c r="T16" s="311"/>
    </row>
    <row r="17" spans="1:20" ht="15.6">
      <c r="B17" s="329" t="s">
        <v>275</v>
      </c>
      <c r="C17" s="330">
        <v>100</v>
      </c>
      <c r="D17" s="330">
        <v>40</v>
      </c>
      <c r="E17" s="330">
        <v>100</v>
      </c>
      <c r="F17" s="331">
        <v>2318.6999999999998</v>
      </c>
      <c r="G17" s="331">
        <v>1217.0999999999999</v>
      </c>
      <c r="H17" s="331">
        <f>'Sheet 1'!H40</f>
        <v>1979.2322999999999</v>
      </c>
      <c r="I17" s="331">
        <v>81259.7</v>
      </c>
      <c r="J17" s="331">
        <v>104141.8</v>
      </c>
      <c r="K17" s="331">
        <f>'Sheet 1'!K17</f>
        <v>84014.182400000005</v>
      </c>
      <c r="L17" s="331">
        <v>0</v>
      </c>
      <c r="M17" s="331">
        <v>0</v>
      </c>
      <c r="N17" s="331">
        <v>0</v>
      </c>
      <c r="O17" s="332">
        <f>SUM(F17:H17)*C17/100+SUM(I17:K17)*D17/100+SUM(L17:N17)*E17/100</f>
        <v>113281.30526000001</v>
      </c>
      <c r="P17" s="319"/>
      <c r="Q17" s="319"/>
      <c r="R17" s="316"/>
      <c r="T17" s="311"/>
    </row>
    <row r="18" spans="1:20" ht="15.6">
      <c r="A18" s="300">
        <v>3</v>
      </c>
      <c r="B18" s="333" t="s">
        <v>237</v>
      </c>
      <c r="C18" s="326"/>
      <c r="D18" s="326"/>
      <c r="E18" s="326"/>
      <c r="F18" s="327"/>
      <c r="G18" s="326"/>
      <c r="H18" s="326"/>
      <c r="I18" s="326"/>
      <c r="J18" s="326"/>
      <c r="K18" s="326"/>
      <c r="L18" s="326"/>
      <c r="M18" s="326"/>
      <c r="N18" s="327"/>
      <c r="O18" s="327">
        <f>O19</f>
        <v>9071.7690000000002</v>
      </c>
      <c r="P18" s="319">
        <v>4342.1000000000004</v>
      </c>
      <c r="Q18" s="319">
        <v>0</v>
      </c>
      <c r="R18" s="328">
        <f>O18-P18-Q18</f>
        <v>4729.6689999999999</v>
      </c>
      <c r="T18" s="311"/>
    </row>
    <row r="19" spans="1:20" ht="26.4">
      <c r="B19" s="381" t="s">
        <v>268</v>
      </c>
      <c r="C19" s="382">
        <v>100</v>
      </c>
      <c r="D19" s="382">
        <v>100</v>
      </c>
      <c r="E19" s="382">
        <v>40</v>
      </c>
      <c r="F19" s="383">
        <v>3744.5</v>
      </c>
      <c r="G19" s="383">
        <v>1497.8</v>
      </c>
      <c r="H19" s="383">
        <f>'Sheet 1'!H39</f>
        <v>3744.2750000000001</v>
      </c>
      <c r="I19" s="383">
        <v>35.799999999999997</v>
      </c>
      <c r="J19" s="383">
        <v>14</v>
      </c>
      <c r="K19" s="383">
        <f>'Sheet 1'!K16</f>
        <v>35.393999999999998</v>
      </c>
      <c r="L19" s="383">
        <v>0</v>
      </c>
      <c r="M19" s="383">
        <v>0</v>
      </c>
      <c r="N19" s="383">
        <v>0</v>
      </c>
      <c r="O19" s="383">
        <f>SUM(F19:H19)*C19/100+SUM(I19:K19)*D19/100+SUM(L19:N19)*E19/100</f>
        <v>9071.7690000000002</v>
      </c>
      <c r="P19" s="319"/>
      <c r="Q19" s="319"/>
      <c r="R19" s="316"/>
      <c r="T19" s="311"/>
    </row>
    <row r="20" spans="1:20" ht="15.6">
      <c r="A20" s="300">
        <v>4</v>
      </c>
      <c r="B20" s="334" t="s">
        <v>238</v>
      </c>
      <c r="C20" s="326"/>
      <c r="D20" s="326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35">
        <f>O21</f>
        <v>40412.352359999997</v>
      </c>
      <c r="P20" s="319">
        <v>29989.5</v>
      </c>
      <c r="Q20" s="319">
        <v>20862.2</v>
      </c>
      <c r="R20" s="328">
        <f>O20-P20-Q20</f>
        <v>-10439.347640000004</v>
      </c>
      <c r="T20" s="311"/>
    </row>
    <row r="21" spans="1:20" ht="15.6">
      <c r="B21" s="329" t="s">
        <v>239</v>
      </c>
      <c r="C21" s="330">
        <v>0</v>
      </c>
      <c r="D21" s="330">
        <v>15</v>
      </c>
      <c r="E21" s="330">
        <v>0</v>
      </c>
      <c r="F21" s="331">
        <f>F17</f>
        <v>2318.6999999999998</v>
      </c>
      <c r="G21" s="331">
        <f t="shared" ref="G21:N21" si="2">G17</f>
        <v>1217.0999999999999</v>
      </c>
      <c r="H21" s="331">
        <f t="shared" si="2"/>
        <v>1979.2322999999999</v>
      </c>
      <c r="I21" s="331">
        <f t="shared" si="2"/>
        <v>81259.7</v>
      </c>
      <c r="J21" s="331">
        <f t="shared" si="2"/>
        <v>104141.8</v>
      </c>
      <c r="K21" s="331">
        <f t="shared" si="2"/>
        <v>84014.182400000005</v>
      </c>
      <c r="L21" s="331">
        <f t="shared" si="2"/>
        <v>0</v>
      </c>
      <c r="M21" s="331">
        <f t="shared" si="2"/>
        <v>0</v>
      </c>
      <c r="N21" s="331">
        <f t="shared" si="2"/>
        <v>0</v>
      </c>
      <c r="O21" s="332">
        <f>SUM(F21:H21)*C21/100+SUM(I21:K21)*D21/100+SUM(L21:N21)*E21/100</f>
        <v>40412.352359999997</v>
      </c>
      <c r="P21" s="319"/>
      <c r="Q21" s="319"/>
      <c r="R21" s="316"/>
      <c r="T21" s="311"/>
    </row>
    <row r="22" spans="1:20" ht="15.6">
      <c r="A22" s="300">
        <v>5</v>
      </c>
      <c r="B22" s="334" t="s">
        <v>240</v>
      </c>
      <c r="C22" s="326"/>
      <c r="D22" s="326"/>
      <c r="E22" s="326"/>
      <c r="F22" s="326"/>
      <c r="G22" s="326"/>
      <c r="H22" s="326"/>
      <c r="I22" s="326"/>
      <c r="J22" s="326"/>
      <c r="K22" s="326"/>
      <c r="L22" s="326"/>
      <c r="M22" s="326"/>
      <c r="N22" s="326"/>
      <c r="O22" s="335">
        <f>O23</f>
        <v>26941.568240000001</v>
      </c>
      <c r="P22" s="319">
        <v>25838.2</v>
      </c>
      <c r="Q22" s="319">
        <v>27470.6</v>
      </c>
      <c r="R22" s="328">
        <f>O22-P22-Q22</f>
        <v>-26367.231759999999</v>
      </c>
      <c r="T22" s="311"/>
    </row>
    <row r="23" spans="1:20" ht="15.6">
      <c r="B23" s="329" t="s">
        <v>239</v>
      </c>
      <c r="C23" s="330">
        <v>0</v>
      </c>
      <c r="D23" s="330">
        <v>10</v>
      </c>
      <c r="E23" s="330">
        <v>0</v>
      </c>
      <c r="F23" s="331">
        <f>F21</f>
        <v>2318.6999999999998</v>
      </c>
      <c r="G23" s="331">
        <f t="shared" ref="G23:N23" si="3">G21</f>
        <v>1217.0999999999999</v>
      </c>
      <c r="H23" s="331">
        <f t="shared" si="3"/>
        <v>1979.2322999999999</v>
      </c>
      <c r="I23" s="331">
        <f t="shared" si="3"/>
        <v>81259.7</v>
      </c>
      <c r="J23" s="331">
        <f t="shared" si="3"/>
        <v>104141.8</v>
      </c>
      <c r="K23" s="331">
        <f t="shared" si="3"/>
        <v>84014.182400000005</v>
      </c>
      <c r="L23" s="331">
        <f t="shared" si="3"/>
        <v>0</v>
      </c>
      <c r="M23" s="331">
        <f t="shared" si="3"/>
        <v>0</v>
      </c>
      <c r="N23" s="331">
        <f t="shared" si="3"/>
        <v>0</v>
      </c>
      <c r="O23" s="332">
        <f>SUM(F23:H23)*C23/100+SUM(I23:K23)*D23/100+SUM(L23:N23)*E23/100</f>
        <v>26941.568240000001</v>
      </c>
      <c r="P23" s="319"/>
      <c r="Q23" s="319"/>
      <c r="R23" s="316"/>
      <c r="T23" s="311"/>
    </row>
    <row r="24" spans="1:20" ht="15.6">
      <c r="A24" s="300">
        <v>6</v>
      </c>
      <c r="B24" s="329" t="s">
        <v>241</v>
      </c>
      <c r="C24" s="326"/>
      <c r="D24" s="326"/>
      <c r="E24" s="326"/>
      <c r="F24" s="326"/>
      <c r="G24" s="326"/>
      <c r="H24" s="326"/>
      <c r="I24" s="326"/>
      <c r="J24" s="326"/>
      <c r="K24" s="326"/>
      <c r="L24" s="326"/>
      <c r="M24" s="326"/>
      <c r="N24" s="326"/>
      <c r="O24" s="335">
        <f>O25</f>
        <v>67353.920599999998</v>
      </c>
      <c r="P24" s="319">
        <v>11935.7</v>
      </c>
      <c r="Q24" s="319">
        <v>7499.8</v>
      </c>
      <c r="R24" s="328">
        <f>O24-P24-Q24</f>
        <v>47918.420599999998</v>
      </c>
      <c r="T24" s="311"/>
    </row>
    <row r="25" spans="1:20" ht="15.6">
      <c r="B25" s="329" t="s">
        <v>239</v>
      </c>
      <c r="C25" s="330">
        <v>0</v>
      </c>
      <c r="D25" s="330">
        <v>25</v>
      </c>
      <c r="E25" s="330">
        <v>0</v>
      </c>
      <c r="F25" s="332">
        <f>F23</f>
        <v>2318.6999999999998</v>
      </c>
      <c r="G25" s="332">
        <f t="shared" ref="G25:N25" si="4">G23</f>
        <v>1217.0999999999999</v>
      </c>
      <c r="H25" s="332">
        <f t="shared" si="4"/>
        <v>1979.2322999999999</v>
      </c>
      <c r="I25" s="332">
        <f t="shared" si="4"/>
        <v>81259.7</v>
      </c>
      <c r="J25" s="332">
        <f t="shared" si="4"/>
        <v>104141.8</v>
      </c>
      <c r="K25" s="332">
        <f t="shared" si="4"/>
        <v>84014.182400000005</v>
      </c>
      <c r="L25" s="332">
        <f t="shared" si="4"/>
        <v>0</v>
      </c>
      <c r="M25" s="332">
        <f t="shared" si="4"/>
        <v>0</v>
      </c>
      <c r="N25" s="332">
        <f t="shared" si="4"/>
        <v>0</v>
      </c>
      <c r="O25" s="332">
        <f>SUM(F25:H25)*C25/100+SUM(I25:K25)*D25/100+SUM(L25:N25)*E25/100</f>
        <v>67353.920599999998</v>
      </c>
      <c r="P25" s="319"/>
      <c r="Q25" s="319"/>
      <c r="R25" s="316"/>
      <c r="T25" s="311"/>
    </row>
    <row r="26" spans="1:20" ht="15.6">
      <c r="A26" s="300">
        <v>7</v>
      </c>
      <c r="B26" s="334" t="s">
        <v>276</v>
      </c>
      <c r="C26" s="326"/>
      <c r="D26" s="326"/>
      <c r="E26" s="326"/>
      <c r="F26" s="326"/>
      <c r="G26" s="326"/>
      <c r="H26" s="326"/>
      <c r="I26" s="326"/>
      <c r="J26" s="326"/>
      <c r="K26" s="326"/>
      <c r="L26" s="326"/>
      <c r="M26" s="326"/>
      <c r="N26" s="326"/>
      <c r="O26" s="335">
        <f>O27</f>
        <v>26941.568240000001</v>
      </c>
      <c r="P26" s="319">
        <v>29992.7</v>
      </c>
      <c r="Q26" s="319">
        <v>0</v>
      </c>
      <c r="R26" s="328">
        <f>O26-P26-Q26</f>
        <v>-3051.1317600000002</v>
      </c>
      <c r="T26" s="311"/>
    </row>
    <row r="27" spans="1:20" ht="15.6">
      <c r="B27" s="329" t="s">
        <v>239</v>
      </c>
      <c r="C27" s="330">
        <v>0</v>
      </c>
      <c r="D27" s="330">
        <v>10</v>
      </c>
      <c r="E27" s="330">
        <v>0</v>
      </c>
      <c r="F27" s="332">
        <f>F25</f>
        <v>2318.6999999999998</v>
      </c>
      <c r="G27" s="332">
        <f t="shared" ref="G27:N27" si="5">G25</f>
        <v>1217.0999999999999</v>
      </c>
      <c r="H27" s="332">
        <f t="shared" si="5"/>
        <v>1979.2322999999999</v>
      </c>
      <c r="I27" s="332">
        <f t="shared" si="5"/>
        <v>81259.7</v>
      </c>
      <c r="J27" s="332">
        <f t="shared" si="5"/>
        <v>104141.8</v>
      </c>
      <c r="K27" s="332">
        <f t="shared" si="5"/>
        <v>84014.182400000005</v>
      </c>
      <c r="L27" s="332">
        <f t="shared" si="5"/>
        <v>0</v>
      </c>
      <c r="M27" s="332">
        <f t="shared" si="5"/>
        <v>0</v>
      </c>
      <c r="N27" s="332">
        <f t="shared" si="5"/>
        <v>0</v>
      </c>
      <c r="O27" s="332">
        <f>SUM(F27:H27)*C27/100+SUM(I27:K27)*D27/100+SUM(L27:N27)*E27/100</f>
        <v>26941.568240000001</v>
      </c>
      <c r="P27" s="319"/>
      <c r="Q27" s="319"/>
      <c r="R27" s="316"/>
      <c r="T27" s="311"/>
    </row>
    <row r="28" spans="1:20" ht="15.6">
      <c r="A28" s="300">
        <v>8</v>
      </c>
      <c r="B28" s="334" t="s">
        <v>242</v>
      </c>
      <c r="C28" s="326"/>
      <c r="D28" s="326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35">
        <f>O29</f>
        <v>0</v>
      </c>
      <c r="P28" s="319">
        <v>0</v>
      </c>
      <c r="Q28" s="319">
        <v>0</v>
      </c>
      <c r="R28" s="328">
        <f>O28-P28-Q28</f>
        <v>0</v>
      </c>
      <c r="T28" s="311"/>
    </row>
    <row r="29" spans="1:20" ht="26.4">
      <c r="B29" s="329" t="s">
        <v>268</v>
      </c>
      <c r="C29" s="330">
        <v>0</v>
      </c>
      <c r="D29" s="330">
        <v>0</v>
      </c>
      <c r="E29" s="330">
        <v>30</v>
      </c>
      <c r="F29" s="332">
        <f t="shared" ref="F29:K29" si="6">F19</f>
        <v>3744.5</v>
      </c>
      <c r="G29" s="332">
        <f t="shared" si="6"/>
        <v>1497.8</v>
      </c>
      <c r="H29" s="332">
        <f t="shared" si="6"/>
        <v>3744.2750000000001</v>
      </c>
      <c r="I29" s="332">
        <f t="shared" si="6"/>
        <v>35.799999999999997</v>
      </c>
      <c r="J29" s="332">
        <f t="shared" si="6"/>
        <v>14</v>
      </c>
      <c r="K29" s="332">
        <f t="shared" si="6"/>
        <v>35.393999999999998</v>
      </c>
      <c r="L29" s="332">
        <v>0</v>
      </c>
      <c r="M29" s="332">
        <v>0</v>
      </c>
      <c r="N29" s="332">
        <v>0</v>
      </c>
      <c r="O29" s="332">
        <f>SUM(F29:H29)*C29/100+SUM(I29:K29)*D29/100+SUM(L29:N29)*E29/100</f>
        <v>0</v>
      </c>
      <c r="P29" s="319"/>
      <c r="Q29" s="319"/>
      <c r="R29" s="316"/>
      <c r="T29" s="311"/>
    </row>
    <row r="30" spans="1:20" ht="15.6">
      <c r="A30" s="300">
        <v>9</v>
      </c>
      <c r="B30" s="334" t="s">
        <v>243</v>
      </c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35">
        <f>O31</f>
        <v>0</v>
      </c>
      <c r="P30" s="319">
        <v>0</v>
      </c>
      <c r="Q30" s="319">
        <v>0</v>
      </c>
      <c r="R30" s="328">
        <f>O30-P30-Q30</f>
        <v>0</v>
      </c>
      <c r="T30" s="311"/>
    </row>
    <row r="31" spans="1:20" ht="26.4">
      <c r="B31" s="329" t="s">
        <v>268</v>
      </c>
      <c r="C31" s="330">
        <v>0</v>
      </c>
      <c r="D31" s="330">
        <v>0</v>
      </c>
      <c r="E31" s="330">
        <v>30</v>
      </c>
      <c r="F31" s="332">
        <f>F29</f>
        <v>3744.5</v>
      </c>
      <c r="G31" s="332">
        <f t="shared" ref="G31:N31" si="7">G29</f>
        <v>1497.8</v>
      </c>
      <c r="H31" s="332">
        <f t="shared" si="7"/>
        <v>3744.2750000000001</v>
      </c>
      <c r="I31" s="332">
        <f t="shared" si="7"/>
        <v>35.799999999999997</v>
      </c>
      <c r="J31" s="332">
        <f t="shared" si="7"/>
        <v>14</v>
      </c>
      <c r="K31" s="332">
        <f t="shared" si="7"/>
        <v>35.393999999999998</v>
      </c>
      <c r="L31" s="332">
        <f t="shared" si="7"/>
        <v>0</v>
      </c>
      <c r="M31" s="332">
        <f t="shared" si="7"/>
        <v>0</v>
      </c>
      <c r="N31" s="332">
        <f t="shared" si="7"/>
        <v>0</v>
      </c>
      <c r="O31" s="332">
        <f>SUM(F31:H31)*C31/100+SUM(I31:K31)*D31/100+SUM(L31:N31)*E31/100</f>
        <v>0</v>
      </c>
      <c r="P31" s="319"/>
      <c r="Q31" s="319"/>
      <c r="R31" s="316"/>
      <c r="T31" s="311"/>
    </row>
    <row r="32" spans="1:20" ht="17.399999999999999">
      <c r="B32" s="388" t="s">
        <v>244</v>
      </c>
      <c r="C32" s="336"/>
      <c r="D32" s="336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7">
        <f>O33+O35+O38+O40+O42+O44+O46+O49+O51+O53+O55+O57+O59+O61</f>
        <v>83968.569999999992</v>
      </c>
      <c r="P32" s="337">
        <f>P33+P35+P38+P40+P42+P44+P46+P49+P51+P53+P55+P57+P59+P61</f>
        <v>19674.3</v>
      </c>
      <c r="Q32" s="337">
        <f>Q33+Q35+Q38+Q40+Q42+Q44+Q46+Q49+Q51+Q53+Q55+Q57+Q59+Q61</f>
        <v>25525.3</v>
      </c>
      <c r="R32" s="338">
        <f>R33+R35+R38+R40+R42+R44+R46+R49+R51+R53+R55+R57+R59+R61</f>
        <v>38768.969999999994</v>
      </c>
      <c r="T32" s="311"/>
    </row>
    <row r="33" spans="1:20" ht="15.6">
      <c r="A33" s="300">
        <v>10</v>
      </c>
      <c r="B33" s="339" t="s">
        <v>245</v>
      </c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  <c r="O33" s="341">
        <f>O34</f>
        <v>32124.515299999999</v>
      </c>
      <c r="P33" s="305">
        <v>11073.6</v>
      </c>
      <c r="Q33" s="319">
        <v>4250</v>
      </c>
      <c r="R33" s="328">
        <f>O33-P33-Q33</f>
        <v>16800.915300000001</v>
      </c>
    </row>
    <row r="34" spans="1:20" ht="15.6">
      <c r="B34" s="346" t="s">
        <v>277</v>
      </c>
      <c r="C34" s="342">
        <v>50</v>
      </c>
      <c r="D34" s="342">
        <v>70</v>
      </c>
      <c r="E34" s="342">
        <v>40</v>
      </c>
      <c r="F34" s="343">
        <f>'Sheet 1'!F41</f>
        <v>22099.599999999999</v>
      </c>
      <c r="G34" s="343">
        <f>'Sheet 1'!G41</f>
        <v>23383.363000000001</v>
      </c>
      <c r="H34" s="343">
        <f>'Sheet 1'!H41</f>
        <v>13645.062</v>
      </c>
      <c r="I34" s="343">
        <f>'Sheet 1'!I18</f>
        <v>203.9</v>
      </c>
      <c r="J34" s="343">
        <f>'Sheet 1'!J18</f>
        <v>185.06399999999999</v>
      </c>
      <c r="K34" s="343">
        <f>'Sheet 1'!K18</f>
        <v>216.84</v>
      </c>
      <c r="L34" s="343">
        <f>'Sheet 1'!C41</f>
        <v>226.9</v>
      </c>
      <c r="M34" s="343">
        <f>'Sheet 1'!D41</f>
        <v>3400.85</v>
      </c>
      <c r="N34" s="343">
        <f>'Sheet 1'!E41</f>
        <v>1713.35</v>
      </c>
      <c r="O34" s="344">
        <f>SUM(F34:H34)*C34/100+SUM(I34:K34)*D34/100+SUM(L34:N34)*E34/100</f>
        <v>32124.515299999999</v>
      </c>
      <c r="P34" s="305"/>
      <c r="Q34" s="319"/>
      <c r="R34" s="316"/>
      <c r="T34" s="311"/>
    </row>
    <row r="35" spans="1:20" ht="15.6">
      <c r="A35" s="300">
        <v>11</v>
      </c>
      <c r="B35" s="339" t="s">
        <v>246</v>
      </c>
      <c r="C35" s="340"/>
      <c r="D35" s="340"/>
      <c r="E35" s="340"/>
      <c r="F35" s="345"/>
      <c r="G35" s="345"/>
      <c r="H35" s="345"/>
      <c r="I35" s="345"/>
      <c r="J35" s="345"/>
      <c r="K35" s="345"/>
      <c r="L35" s="345"/>
      <c r="M35" s="345"/>
      <c r="N35" s="345"/>
      <c r="O35" s="341">
        <f>O36+O37</f>
        <v>28363.852400000003</v>
      </c>
      <c r="P35" s="305">
        <v>6750.2</v>
      </c>
      <c r="Q35" s="319">
        <v>15275.1</v>
      </c>
      <c r="R35" s="328">
        <f>O35-P35-Q35</f>
        <v>6338.5524000000023</v>
      </c>
      <c r="T35" s="311"/>
    </row>
    <row r="36" spans="1:20" ht="15.6">
      <c r="B36" s="346" t="s">
        <v>277</v>
      </c>
      <c r="C36" s="342">
        <v>30</v>
      </c>
      <c r="D36" s="342">
        <v>0</v>
      </c>
      <c r="E36" s="342">
        <v>0</v>
      </c>
      <c r="F36" s="343">
        <f>F34</f>
        <v>22099.599999999999</v>
      </c>
      <c r="G36" s="343">
        <f t="shared" ref="G36:N36" si="8">G34</f>
        <v>23383.363000000001</v>
      </c>
      <c r="H36" s="343">
        <f t="shared" si="8"/>
        <v>13645.062</v>
      </c>
      <c r="I36" s="343">
        <f t="shared" si="8"/>
        <v>203.9</v>
      </c>
      <c r="J36" s="343">
        <f t="shared" si="8"/>
        <v>185.06399999999999</v>
      </c>
      <c r="K36" s="343">
        <f t="shared" si="8"/>
        <v>216.84</v>
      </c>
      <c r="L36" s="343">
        <f t="shared" si="8"/>
        <v>226.9</v>
      </c>
      <c r="M36" s="343">
        <f t="shared" si="8"/>
        <v>3400.85</v>
      </c>
      <c r="N36" s="343">
        <f t="shared" si="8"/>
        <v>1713.35</v>
      </c>
      <c r="O36" s="344">
        <f>SUM(F36:H36)*C36/100+SUM(I36:K36)*D36/100+SUM(L36:N36)*E36/100</f>
        <v>17738.407500000001</v>
      </c>
      <c r="P36" s="305"/>
      <c r="Q36" s="319"/>
      <c r="R36" s="316"/>
      <c r="T36" s="311"/>
    </row>
    <row r="37" spans="1:20" ht="15.6">
      <c r="B37" s="346" t="s">
        <v>278</v>
      </c>
      <c r="C37" s="342">
        <v>90</v>
      </c>
      <c r="D37" s="342">
        <v>80</v>
      </c>
      <c r="E37" s="342">
        <v>50</v>
      </c>
      <c r="F37" s="343">
        <f>'Sheet 1'!F42</f>
        <v>2114.6999999999998</v>
      </c>
      <c r="G37" s="343">
        <f>'Sheet 1'!G42</f>
        <v>3021.3510000000001</v>
      </c>
      <c r="H37" s="343">
        <f>'Sheet 1'!H42</f>
        <v>6209.9530000000004</v>
      </c>
      <c r="I37" s="343">
        <f>'Sheet 1'!I19</f>
        <v>159.69999999999999</v>
      </c>
      <c r="J37" s="343">
        <f>'Sheet 1'!J19</f>
        <v>81.521000000000001</v>
      </c>
      <c r="K37" s="343">
        <f>'Sheet 1'!K19</f>
        <v>72.31</v>
      </c>
      <c r="L37" s="343">
        <f>'Sheet 1'!C42</f>
        <v>37.9</v>
      </c>
      <c r="M37" s="343">
        <f>'Sheet 1'!D42</f>
        <v>32.15</v>
      </c>
      <c r="N37" s="343">
        <f>'Sheet 1'!E42</f>
        <v>256.38299999999998</v>
      </c>
      <c r="O37" s="344">
        <f>SUM(F37:H37)*C37/100+SUM(I37:K37)*D37/100+SUM(L37:N37)*E37/100</f>
        <v>10625.444900000002</v>
      </c>
      <c r="P37" s="319"/>
      <c r="Q37" s="319"/>
      <c r="R37" s="316"/>
      <c r="T37" s="311"/>
    </row>
    <row r="38" spans="1:20" ht="15.6">
      <c r="A38" s="300">
        <v>12</v>
      </c>
      <c r="B38" s="339" t="s">
        <v>247</v>
      </c>
      <c r="C38" s="340"/>
      <c r="D38" s="340"/>
      <c r="E38" s="340"/>
      <c r="F38" s="345"/>
      <c r="G38" s="345"/>
      <c r="H38" s="345"/>
      <c r="I38" s="345"/>
      <c r="J38" s="345"/>
      <c r="K38" s="345"/>
      <c r="L38" s="345"/>
      <c r="M38" s="345"/>
      <c r="N38" s="345"/>
      <c r="O38" s="341">
        <f>O39</f>
        <v>6981.0225</v>
      </c>
      <c r="P38" s="319">
        <v>0</v>
      </c>
      <c r="Q38" s="319">
        <v>6000.2</v>
      </c>
      <c r="R38" s="328">
        <f>O38-P38-Q38</f>
        <v>980.82250000000022</v>
      </c>
      <c r="T38" s="311"/>
    </row>
    <row r="39" spans="1:20" ht="15.6">
      <c r="B39" s="346" t="s">
        <v>277</v>
      </c>
      <c r="C39" s="342">
        <v>10</v>
      </c>
      <c r="D39" s="342">
        <v>0</v>
      </c>
      <c r="E39" s="342">
        <v>20</v>
      </c>
      <c r="F39" s="343">
        <f>F36</f>
        <v>22099.599999999999</v>
      </c>
      <c r="G39" s="343">
        <f t="shared" ref="G39:N39" si="9">G36</f>
        <v>23383.363000000001</v>
      </c>
      <c r="H39" s="343">
        <f t="shared" si="9"/>
        <v>13645.062</v>
      </c>
      <c r="I39" s="343">
        <f t="shared" si="9"/>
        <v>203.9</v>
      </c>
      <c r="J39" s="343">
        <f t="shared" si="9"/>
        <v>185.06399999999999</v>
      </c>
      <c r="K39" s="343">
        <f t="shared" si="9"/>
        <v>216.84</v>
      </c>
      <c r="L39" s="343">
        <f t="shared" si="9"/>
        <v>226.9</v>
      </c>
      <c r="M39" s="343">
        <f t="shared" si="9"/>
        <v>3400.85</v>
      </c>
      <c r="N39" s="343">
        <f t="shared" si="9"/>
        <v>1713.35</v>
      </c>
      <c r="O39" s="344">
        <f>SUM(F39:H39)*C39/100+SUM(I39:K39)*D39/100+SUM(L39:N39)*E39/100</f>
        <v>6981.0225</v>
      </c>
      <c r="P39" s="319"/>
      <c r="Q39" s="319"/>
      <c r="R39" s="316"/>
      <c r="T39" s="311"/>
    </row>
    <row r="40" spans="1:20" ht="15.6">
      <c r="A40" s="300">
        <v>13</v>
      </c>
      <c r="B40" s="339" t="s">
        <v>248</v>
      </c>
      <c r="C40" s="340"/>
      <c r="D40" s="340"/>
      <c r="E40" s="340"/>
      <c r="F40" s="345"/>
      <c r="G40" s="345"/>
      <c r="H40" s="345"/>
      <c r="I40" s="345"/>
      <c r="J40" s="345"/>
      <c r="K40" s="345"/>
      <c r="L40" s="345"/>
      <c r="M40" s="345"/>
      <c r="N40" s="345"/>
      <c r="O40" s="341">
        <f>O41</f>
        <v>5973.3828999999996</v>
      </c>
      <c r="P40" s="319">
        <v>0</v>
      </c>
      <c r="Q40" s="319">
        <v>0</v>
      </c>
      <c r="R40" s="328">
        <f>O40-P40-Q40</f>
        <v>5973.3828999999996</v>
      </c>
      <c r="T40" s="311"/>
    </row>
    <row r="41" spans="1:20" ht="15.6">
      <c r="B41" s="346" t="s">
        <v>277</v>
      </c>
      <c r="C41" s="342">
        <v>10</v>
      </c>
      <c r="D41" s="342">
        <v>10</v>
      </c>
      <c r="E41" s="342">
        <v>0</v>
      </c>
      <c r="F41" s="343">
        <f>F39</f>
        <v>22099.599999999999</v>
      </c>
      <c r="G41" s="343">
        <f t="shared" ref="G41:N41" si="10">G39</f>
        <v>23383.363000000001</v>
      </c>
      <c r="H41" s="343">
        <f t="shared" si="10"/>
        <v>13645.062</v>
      </c>
      <c r="I41" s="343">
        <f t="shared" si="10"/>
        <v>203.9</v>
      </c>
      <c r="J41" s="343">
        <f t="shared" si="10"/>
        <v>185.06399999999999</v>
      </c>
      <c r="K41" s="343">
        <f t="shared" si="10"/>
        <v>216.84</v>
      </c>
      <c r="L41" s="343">
        <f t="shared" si="10"/>
        <v>226.9</v>
      </c>
      <c r="M41" s="343">
        <f t="shared" si="10"/>
        <v>3400.85</v>
      </c>
      <c r="N41" s="343">
        <f t="shared" si="10"/>
        <v>1713.35</v>
      </c>
      <c r="O41" s="343">
        <f>SUM(F41:H41)*C41/100+SUM(I41:K41)*D41/100+SUM(L41:N41)*E41/100</f>
        <v>5973.3828999999996</v>
      </c>
      <c r="P41" s="319"/>
      <c r="Q41" s="319"/>
      <c r="R41" s="316"/>
      <c r="T41" s="311"/>
    </row>
    <row r="42" spans="1:20" ht="15.6">
      <c r="A42" s="300">
        <v>14</v>
      </c>
      <c r="B42" s="339" t="s">
        <v>249</v>
      </c>
      <c r="C42" s="340"/>
      <c r="D42" s="340"/>
      <c r="E42" s="340"/>
      <c r="F42" s="345"/>
      <c r="G42" s="345"/>
      <c r="H42" s="345"/>
      <c r="I42" s="345"/>
      <c r="J42" s="345"/>
      <c r="K42" s="345"/>
      <c r="L42" s="345"/>
      <c r="M42" s="345"/>
      <c r="N42" s="345"/>
      <c r="O42" s="341">
        <f>O43</f>
        <v>4589.5987999999998</v>
      </c>
      <c r="P42" s="319">
        <v>1249.3</v>
      </c>
      <c r="Q42" s="319">
        <v>0</v>
      </c>
      <c r="R42" s="328">
        <f>O42-P42-Q42</f>
        <v>3340.2987999999996</v>
      </c>
      <c r="T42" s="311"/>
    </row>
    <row r="43" spans="1:20" ht="15.6">
      <c r="B43" s="346" t="s">
        <v>281</v>
      </c>
      <c r="C43" s="342">
        <v>70</v>
      </c>
      <c r="D43" s="342">
        <v>40</v>
      </c>
      <c r="E43" s="342">
        <v>50</v>
      </c>
      <c r="F43" s="343">
        <f>'Sheet 1'!F43</f>
        <v>1655</v>
      </c>
      <c r="G43" s="343">
        <f>'Sheet 1'!G43</f>
        <v>1230.6420000000001</v>
      </c>
      <c r="H43" s="343">
        <f>'Sheet 1'!H43</f>
        <v>3202.79</v>
      </c>
      <c r="I43" s="343">
        <f>'Sheet 1'!I20</f>
        <v>227</v>
      </c>
      <c r="J43" s="343">
        <f>'Sheet 1'!J20</f>
        <v>160.05199999999999</v>
      </c>
      <c r="K43" s="343">
        <f>'Sheet 1'!K20</f>
        <v>432.18900000000002</v>
      </c>
      <c r="L43" s="343">
        <f>'Sheet 1'!C43</f>
        <v>0</v>
      </c>
      <c r="M43" s="343">
        <f>'Sheet 1'!D43</f>
        <v>0</v>
      </c>
      <c r="N43" s="343">
        <f>'Sheet 1'!E43</f>
        <v>0</v>
      </c>
      <c r="O43" s="343">
        <f>SUM(F43:H43)*C43/100+SUM(I43:K43)*D43/100+SUM(L43:N43)*E43/100</f>
        <v>4589.5987999999998</v>
      </c>
      <c r="P43" s="319"/>
      <c r="Q43" s="319"/>
      <c r="R43" s="316"/>
      <c r="T43" s="311"/>
    </row>
    <row r="44" spans="1:20" ht="15.6">
      <c r="A44" s="300">
        <v>15</v>
      </c>
      <c r="B44" s="339" t="s">
        <v>250</v>
      </c>
      <c r="C44" s="340"/>
      <c r="D44" s="340"/>
      <c r="E44" s="340"/>
      <c r="F44" s="345"/>
      <c r="G44" s="345"/>
      <c r="H44" s="345"/>
      <c r="I44" s="345"/>
      <c r="J44" s="345"/>
      <c r="K44" s="345"/>
      <c r="L44" s="345"/>
      <c r="M44" s="345"/>
      <c r="N44" s="345"/>
      <c r="O44" s="341">
        <f>O45</f>
        <v>1990.3777999999998</v>
      </c>
      <c r="P44" s="319">
        <v>601.20000000000005</v>
      </c>
      <c r="Q44" s="319">
        <v>0</v>
      </c>
      <c r="R44" s="328">
        <f>O44-P44-Q44</f>
        <v>1389.1777999999997</v>
      </c>
      <c r="T44" s="311"/>
    </row>
    <row r="45" spans="1:20" ht="15.6">
      <c r="B45" s="346" t="s">
        <v>281</v>
      </c>
      <c r="C45" s="342">
        <v>30</v>
      </c>
      <c r="D45" s="342">
        <v>20</v>
      </c>
      <c r="E45" s="342">
        <v>50</v>
      </c>
      <c r="F45" s="343">
        <f>F43</f>
        <v>1655</v>
      </c>
      <c r="G45" s="343">
        <f t="shared" ref="G45:N45" si="11">G43</f>
        <v>1230.6420000000001</v>
      </c>
      <c r="H45" s="343">
        <f t="shared" si="11"/>
        <v>3202.79</v>
      </c>
      <c r="I45" s="343">
        <f t="shared" si="11"/>
        <v>227</v>
      </c>
      <c r="J45" s="343">
        <f t="shared" si="11"/>
        <v>160.05199999999999</v>
      </c>
      <c r="K45" s="343">
        <f t="shared" si="11"/>
        <v>432.18900000000002</v>
      </c>
      <c r="L45" s="343">
        <f t="shared" si="11"/>
        <v>0</v>
      </c>
      <c r="M45" s="343">
        <f t="shared" si="11"/>
        <v>0</v>
      </c>
      <c r="N45" s="343">
        <f t="shared" si="11"/>
        <v>0</v>
      </c>
      <c r="O45" s="343">
        <f>SUM(F45:H45)*C45/100+SUM(I45:K45)*D45/100+SUM(L45:N45)*E45/100</f>
        <v>1990.3777999999998</v>
      </c>
      <c r="P45" s="319"/>
      <c r="Q45" s="319"/>
      <c r="R45" s="316"/>
      <c r="T45" s="311"/>
    </row>
    <row r="46" spans="1:20" ht="15.6">
      <c r="A46" s="300">
        <v>16</v>
      </c>
      <c r="B46" s="339" t="s">
        <v>251</v>
      </c>
      <c r="C46" s="340"/>
      <c r="D46" s="340"/>
      <c r="E46" s="340"/>
      <c r="F46" s="345"/>
      <c r="G46" s="345"/>
      <c r="H46" s="345"/>
      <c r="I46" s="345"/>
      <c r="J46" s="345"/>
      <c r="K46" s="345"/>
      <c r="L46" s="345"/>
      <c r="M46" s="345"/>
      <c r="N46" s="345"/>
      <c r="O46" s="341">
        <f>O47+O48</f>
        <v>1731.4166</v>
      </c>
      <c r="P46" s="319">
        <v>0</v>
      </c>
      <c r="Q46" s="319">
        <v>0</v>
      </c>
      <c r="R46" s="328">
        <f>O46-P46-Q46</f>
        <v>1731.4166</v>
      </c>
      <c r="T46" s="311"/>
    </row>
    <row r="47" spans="1:20" ht="15.6">
      <c r="B47" s="346" t="s">
        <v>277</v>
      </c>
      <c r="C47" s="342">
        <v>0</v>
      </c>
      <c r="D47" s="342">
        <v>0</v>
      </c>
      <c r="E47" s="342">
        <v>10</v>
      </c>
      <c r="F47" s="343">
        <f>F41</f>
        <v>22099.599999999999</v>
      </c>
      <c r="G47" s="343">
        <f t="shared" ref="G47:N47" si="12">G41</f>
        <v>23383.363000000001</v>
      </c>
      <c r="H47" s="343">
        <f t="shared" si="12"/>
        <v>13645.062</v>
      </c>
      <c r="I47" s="343">
        <f t="shared" si="12"/>
        <v>203.9</v>
      </c>
      <c r="J47" s="343">
        <f t="shared" si="12"/>
        <v>185.06399999999999</v>
      </c>
      <c r="K47" s="343">
        <f t="shared" si="12"/>
        <v>216.84</v>
      </c>
      <c r="L47" s="343">
        <f t="shared" si="12"/>
        <v>226.9</v>
      </c>
      <c r="M47" s="343">
        <f t="shared" si="12"/>
        <v>3400.85</v>
      </c>
      <c r="N47" s="343">
        <f t="shared" si="12"/>
        <v>1713.35</v>
      </c>
      <c r="O47" s="343">
        <f>SUM(F47:H47)*C47/100+SUM(I47:K47)*D47/100+SUM(L47:N47)*E47/100</f>
        <v>534.11</v>
      </c>
      <c r="P47" s="319"/>
      <c r="Q47" s="319"/>
      <c r="R47" s="316"/>
      <c r="T47" s="311"/>
    </row>
    <row r="48" spans="1:20" ht="15.6">
      <c r="B48" s="346" t="s">
        <v>331</v>
      </c>
      <c r="C48" s="342">
        <v>10</v>
      </c>
      <c r="D48" s="342">
        <v>20</v>
      </c>
      <c r="E48" s="342">
        <v>0</v>
      </c>
      <c r="F48" s="343">
        <f>F37</f>
        <v>2114.6999999999998</v>
      </c>
      <c r="G48" s="343">
        <f t="shared" ref="G48:N48" si="13">G37</f>
        <v>3021.3510000000001</v>
      </c>
      <c r="H48" s="343">
        <f t="shared" si="13"/>
        <v>6209.9530000000004</v>
      </c>
      <c r="I48" s="343">
        <f t="shared" si="13"/>
        <v>159.69999999999999</v>
      </c>
      <c r="J48" s="343">
        <f t="shared" si="13"/>
        <v>81.521000000000001</v>
      </c>
      <c r="K48" s="343">
        <f t="shared" si="13"/>
        <v>72.31</v>
      </c>
      <c r="L48" s="343">
        <f t="shared" si="13"/>
        <v>37.9</v>
      </c>
      <c r="M48" s="343">
        <f t="shared" si="13"/>
        <v>32.15</v>
      </c>
      <c r="N48" s="343">
        <f t="shared" si="13"/>
        <v>256.38299999999998</v>
      </c>
      <c r="O48" s="343">
        <f>SUM(F48:H48)*C48/100+SUM(I48:K48)*D48/100+SUM(L48:N48)*E48/100</f>
        <v>1197.3066000000001</v>
      </c>
      <c r="P48" s="319"/>
      <c r="Q48" s="319"/>
      <c r="R48" s="316"/>
      <c r="T48" s="311"/>
    </row>
    <row r="49" spans="1:20" ht="15.6">
      <c r="A49" s="300">
        <v>17</v>
      </c>
      <c r="B49" s="339" t="s">
        <v>245</v>
      </c>
      <c r="C49" s="347"/>
      <c r="D49" s="347"/>
      <c r="E49" s="347"/>
      <c r="F49" s="341"/>
      <c r="G49" s="341"/>
      <c r="H49" s="345"/>
      <c r="I49" s="345"/>
      <c r="J49" s="345"/>
      <c r="K49" s="345"/>
      <c r="L49" s="345"/>
      <c r="M49" s="345"/>
      <c r="N49" s="345"/>
      <c r="O49" s="341">
        <f>O50</f>
        <v>121.16079999999999</v>
      </c>
      <c r="P49" s="319">
        <v>0</v>
      </c>
      <c r="Q49" s="319">
        <v>0</v>
      </c>
      <c r="R49" s="328">
        <f>O49-P49-Q49</f>
        <v>121.16079999999999</v>
      </c>
      <c r="T49" s="311"/>
    </row>
    <row r="50" spans="1:20" ht="15.6">
      <c r="B50" s="346" t="s">
        <v>277</v>
      </c>
      <c r="C50" s="342">
        <v>0</v>
      </c>
      <c r="D50" s="342">
        <v>20</v>
      </c>
      <c r="E50" s="342">
        <v>0</v>
      </c>
      <c r="F50" s="343">
        <f>F47</f>
        <v>22099.599999999999</v>
      </c>
      <c r="G50" s="343">
        <f t="shared" ref="G50:N50" si="14">G47</f>
        <v>23383.363000000001</v>
      </c>
      <c r="H50" s="343">
        <f t="shared" si="14"/>
        <v>13645.062</v>
      </c>
      <c r="I50" s="343">
        <f t="shared" si="14"/>
        <v>203.9</v>
      </c>
      <c r="J50" s="343">
        <f t="shared" si="14"/>
        <v>185.06399999999999</v>
      </c>
      <c r="K50" s="343">
        <f t="shared" si="14"/>
        <v>216.84</v>
      </c>
      <c r="L50" s="343">
        <f t="shared" si="14"/>
        <v>226.9</v>
      </c>
      <c r="M50" s="343">
        <f t="shared" si="14"/>
        <v>3400.85</v>
      </c>
      <c r="N50" s="343">
        <f t="shared" si="14"/>
        <v>1713.35</v>
      </c>
      <c r="O50" s="343">
        <f>SUM(F50:H50)*C50/100+SUM(I50:K50)*D50/100+SUM(L50:N50)*E50/100</f>
        <v>121.16079999999999</v>
      </c>
      <c r="P50" s="319"/>
      <c r="Q50" s="319"/>
      <c r="R50" s="316"/>
      <c r="T50" s="311"/>
    </row>
    <row r="51" spans="1:20" ht="15.6">
      <c r="A51" s="300">
        <v>18</v>
      </c>
      <c r="B51" s="339" t="s">
        <v>252</v>
      </c>
      <c r="C51" s="340"/>
      <c r="D51" s="340"/>
      <c r="E51" s="340"/>
      <c r="F51" s="345"/>
      <c r="G51" s="345"/>
      <c r="H51" s="345"/>
      <c r="I51" s="345"/>
      <c r="J51" s="345"/>
      <c r="K51" s="345"/>
      <c r="L51" s="345"/>
      <c r="M51" s="345"/>
      <c r="N51" s="345"/>
      <c r="O51" s="341">
        <f>O52</f>
        <v>163.84819999999999</v>
      </c>
      <c r="P51" s="319">
        <v>0</v>
      </c>
      <c r="Q51" s="319">
        <v>0</v>
      </c>
      <c r="R51" s="328">
        <f>O51-P51-Q51</f>
        <v>163.84819999999999</v>
      </c>
      <c r="T51" s="311"/>
    </row>
    <row r="52" spans="1:20" ht="15.6">
      <c r="B52" s="346" t="s">
        <v>281</v>
      </c>
      <c r="C52" s="342">
        <v>0</v>
      </c>
      <c r="D52" s="342">
        <v>20</v>
      </c>
      <c r="E52" s="342">
        <v>0</v>
      </c>
      <c r="F52" s="343">
        <f>F45</f>
        <v>1655</v>
      </c>
      <c r="G52" s="343">
        <f t="shared" ref="G52:N52" si="15">G45</f>
        <v>1230.6420000000001</v>
      </c>
      <c r="H52" s="343">
        <f t="shared" si="15"/>
        <v>3202.79</v>
      </c>
      <c r="I52" s="343">
        <f t="shared" si="15"/>
        <v>227</v>
      </c>
      <c r="J52" s="343">
        <f t="shared" si="15"/>
        <v>160.05199999999999</v>
      </c>
      <c r="K52" s="343">
        <f t="shared" si="15"/>
        <v>432.18900000000002</v>
      </c>
      <c r="L52" s="343">
        <f t="shared" si="15"/>
        <v>0</v>
      </c>
      <c r="M52" s="343">
        <f t="shared" si="15"/>
        <v>0</v>
      </c>
      <c r="N52" s="343">
        <f t="shared" si="15"/>
        <v>0</v>
      </c>
      <c r="O52" s="343">
        <f>SUM(F52:H52)*C52/100+SUM(I52:K52)*D52/100+SUM(L52:N52)*E52/100</f>
        <v>163.84819999999999</v>
      </c>
      <c r="P52" s="319"/>
      <c r="Q52" s="319"/>
      <c r="R52" s="316"/>
      <c r="T52" s="311"/>
    </row>
    <row r="53" spans="1:20" ht="15.6">
      <c r="A53" s="300">
        <v>19</v>
      </c>
      <c r="B53" s="339" t="s">
        <v>253</v>
      </c>
      <c r="C53" s="340"/>
      <c r="D53" s="340"/>
      <c r="E53" s="340"/>
      <c r="F53" s="345"/>
      <c r="G53" s="345"/>
      <c r="H53" s="345"/>
      <c r="I53" s="345"/>
      <c r="J53" s="345"/>
      <c r="K53" s="345"/>
      <c r="L53" s="345"/>
      <c r="M53" s="345"/>
      <c r="N53" s="345"/>
      <c r="O53" s="341">
        <f>O54</f>
        <v>81.924099999999996</v>
      </c>
      <c r="P53" s="319">
        <v>0</v>
      </c>
      <c r="Q53" s="319">
        <v>0</v>
      </c>
      <c r="R53" s="328">
        <f>O53-P53-Q53</f>
        <v>81.924099999999996</v>
      </c>
      <c r="T53" s="311"/>
    </row>
    <row r="54" spans="1:20" ht="15.6">
      <c r="B54" s="346" t="s">
        <v>281</v>
      </c>
      <c r="C54" s="342">
        <v>0</v>
      </c>
      <c r="D54" s="342">
        <v>10</v>
      </c>
      <c r="E54" s="342">
        <v>0</v>
      </c>
      <c r="F54" s="343">
        <f>F52</f>
        <v>1655</v>
      </c>
      <c r="G54" s="343">
        <f t="shared" ref="G54:N54" si="16">G52</f>
        <v>1230.6420000000001</v>
      </c>
      <c r="H54" s="343">
        <f t="shared" si="16"/>
        <v>3202.79</v>
      </c>
      <c r="I54" s="343">
        <f t="shared" si="16"/>
        <v>227</v>
      </c>
      <c r="J54" s="343">
        <f t="shared" si="16"/>
        <v>160.05199999999999</v>
      </c>
      <c r="K54" s="343">
        <f t="shared" si="16"/>
        <v>432.18900000000002</v>
      </c>
      <c r="L54" s="343">
        <f t="shared" si="16"/>
        <v>0</v>
      </c>
      <c r="M54" s="343">
        <f t="shared" si="16"/>
        <v>0</v>
      </c>
      <c r="N54" s="343">
        <f t="shared" si="16"/>
        <v>0</v>
      </c>
      <c r="O54" s="343">
        <f>SUM(F54:H54)*C54/100+SUM(I54:K54)*D54/100+SUM(L54:N54)*E54/100</f>
        <v>81.924099999999996</v>
      </c>
      <c r="P54" s="319"/>
      <c r="Q54" s="319"/>
      <c r="R54" s="316"/>
      <c r="T54" s="311"/>
    </row>
    <row r="55" spans="1:20" ht="15.6">
      <c r="A55" s="300">
        <v>20</v>
      </c>
      <c r="B55" s="339" t="s">
        <v>254</v>
      </c>
      <c r="C55" s="340"/>
      <c r="D55" s="340"/>
      <c r="E55" s="340"/>
      <c r="F55" s="345"/>
      <c r="G55" s="345"/>
      <c r="H55" s="345"/>
      <c r="I55" s="345"/>
      <c r="J55" s="345"/>
      <c r="K55" s="345"/>
      <c r="L55" s="345"/>
      <c r="M55" s="345"/>
      <c r="N55" s="345"/>
      <c r="O55" s="341">
        <f>O56</f>
        <v>81.924099999999996</v>
      </c>
      <c r="P55" s="319">
        <v>0</v>
      </c>
      <c r="Q55" s="319">
        <v>0</v>
      </c>
      <c r="R55" s="328">
        <f>O55-P55-Q55</f>
        <v>81.924099999999996</v>
      </c>
      <c r="T55" s="311"/>
    </row>
    <row r="56" spans="1:20" ht="15.6">
      <c r="B56" s="346" t="s">
        <v>281</v>
      </c>
      <c r="C56" s="342">
        <v>0</v>
      </c>
      <c r="D56" s="342">
        <v>10</v>
      </c>
      <c r="E56" s="342">
        <v>0</v>
      </c>
      <c r="F56" s="343">
        <f>F54</f>
        <v>1655</v>
      </c>
      <c r="G56" s="343">
        <f t="shared" ref="G56:N56" si="17">G54</f>
        <v>1230.6420000000001</v>
      </c>
      <c r="H56" s="343">
        <f t="shared" si="17"/>
        <v>3202.79</v>
      </c>
      <c r="I56" s="343">
        <f t="shared" si="17"/>
        <v>227</v>
      </c>
      <c r="J56" s="343">
        <f t="shared" si="17"/>
        <v>160.05199999999999</v>
      </c>
      <c r="K56" s="343">
        <f t="shared" si="17"/>
        <v>432.18900000000002</v>
      </c>
      <c r="L56" s="343">
        <f t="shared" si="17"/>
        <v>0</v>
      </c>
      <c r="M56" s="343">
        <f t="shared" si="17"/>
        <v>0</v>
      </c>
      <c r="N56" s="343">
        <f t="shared" si="17"/>
        <v>0</v>
      </c>
      <c r="O56" s="343">
        <f>SUM(F56:H56)*C56/100+SUM(I56:K56)*D56/100+SUM(L56:N56)*E56/100</f>
        <v>81.924099999999996</v>
      </c>
      <c r="P56" s="319"/>
      <c r="Q56" s="319"/>
      <c r="R56" s="316"/>
      <c r="T56" s="311"/>
    </row>
    <row r="57" spans="1:20" ht="15.6">
      <c r="A57" s="300">
        <v>21</v>
      </c>
      <c r="B57" s="339" t="s">
        <v>255</v>
      </c>
      <c r="C57" s="347"/>
      <c r="D57" s="347"/>
      <c r="E57" s="347"/>
      <c r="F57" s="341"/>
      <c r="G57" s="341"/>
      <c r="H57" s="345"/>
      <c r="I57" s="345"/>
      <c r="J57" s="345"/>
      <c r="K57" s="345"/>
      <c r="L57" s="345"/>
      <c r="M57" s="345"/>
      <c r="N57" s="345"/>
      <c r="O57" s="341">
        <f>O58</f>
        <v>1068.22</v>
      </c>
      <c r="P57" s="319">
        <v>0</v>
      </c>
      <c r="Q57" s="319">
        <v>0</v>
      </c>
      <c r="R57" s="328">
        <f>O57-P57-Q57</f>
        <v>1068.22</v>
      </c>
      <c r="T57" s="311"/>
    </row>
    <row r="58" spans="1:20" ht="15.6">
      <c r="B58" s="346" t="s">
        <v>277</v>
      </c>
      <c r="C58" s="342">
        <v>0</v>
      </c>
      <c r="D58" s="342">
        <v>0</v>
      </c>
      <c r="E58" s="342">
        <v>20</v>
      </c>
      <c r="F58" s="343">
        <f>F50</f>
        <v>22099.599999999999</v>
      </c>
      <c r="G58" s="343">
        <f t="shared" ref="G58:N58" si="18">G50</f>
        <v>23383.363000000001</v>
      </c>
      <c r="H58" s="343">
        <f t="shared" si="18"/>
        <v>13645.062</v>
      </c>
      <c r="I58" s="343">
        <f t="shared" si="18"/>
        <v>203.9</v>
      </c>
      <c r="J58" s="343">
        <f t="shared" si="18"/>
        <v>185.06399999999999</v>
      </c>
      <c r="K58" s="343">
        <f t="shared" si="18"/>
        <v>216.84</v>
      </c>
      <c r="L58" s="343">
        <f t="shared" si="18"/>
        <v>226.9</v>
      </c>
      <c r="M58" s="343">
        <f t="shared" si="18"/>
        <v>3400.85</v>
      </c>
      <c r="N58" s="343">
        <f t="shared" si="18"/>
        <v>1713.35</v>
      </c>
      <c r="O58" s="343">
        <f>SUM(F58:H58)*C58/100+SUM(I58:K58)*D58/100+SUM(L58:N58)*E58/100</f>
        <v>1068.22</v>
      </c>
      <c r="P58" s="319"/>
      <c r="Q58" s="319"/>
      <c r="R58" s="316"/>
      <c r="T58" s="311"/>
    </row>
    <row r="59" spans="1:20" ht="15.6">
      <c r="A59" s="300">
        <v>22</v>
      </c>
      <c r="B59" s="339" t="s">
        <v>256</v>
      </c>
      <c r="C59" s="347"/>
      <c r="D59" s="347"/>
      <c r="E59" s="347"/>
      <c r="F59" s="341"/>
      <c r="G59" s="341"/>
      <c r="H59" s="345"/>
      <c r="I59" s="345"/>
      <c r="J59" s="345"/>
      <c r="K59" s="345"/>
      <c r="L59" s="345"/>
      <c r="M59" s="345"/>
      <c r="N59" s="345"/>
      <c r="O59" s="341">
        <f>O60</f>
        <v>534.11</v>
      </c>
      <c r="P59" s="319">
        <v>0</v>
      </c>
      <c r="Q59" s="319">
        <v>0</v>
      </c>
      <c r="R59" s="328">
        <f>O59-P59-Q59</f>
        <v>534.11</v>
      </c>
      <c r="T59" s="311"/>
    </row>
    <row r="60" spans="1:20" ht="15.6">
      <c r="B60" s="346" t="s">
        <v>277</v>
      </c>
      <c r="C60" s="342">
        <v>0</v>
      </c>
      <c r="D60" s="342">
        <v>0</v>
      </c>
      <c r="E60" s="342">
        <v>10</v>
      </c>
      <c r="F60" s="343">
        <f>F58</f>
        <v>22099.599999999999</v>
      </c>
      <c r="G60" s="343">
        <f t="shared" ref="G60:N60" si="19">G58</f>
        <v>23383.363000000001</v>
      </c>
      <c r="H60" s="343">
        <f t="shared" si="19"/>
        <v>13645.062</v>
      </c>
      <c r="I60" s="343">
        <f t="shared" si="19"/>
        <v>203.9</v>
      </c>
      <c r="J60" s="343">
        <f t="shared" si="19"/>
        <v>185.06399999999999</v>
      </c>
      <c r="K60" s="343">
        <f t="shared" si="19"/>
        <v>216.84</v>
      </c>
      <c r="L60" s="343">
        <f t="shared" si="19"/>
        <v>226.9</v>
      </c>
      <c r="M60" s="343">
        <f t="shared" si="19"/>
        <v>3400.85</v>
      </c>
      <c r="N60" s="343">
        <f t="shared" si="19"/>
        <v>1713.35</v>
      </c>
      <c r="O60" s="343">
        <f>SUM(F60:H60)*C60/100+SUM(I60:K60)*D60/100+SUM(L60:N60)*E60/100</f>
        <v>534.11</v>
      </c>
      <c r="P60" s="319"/>
      <c r="Q60" s="319"/>
      <c r="R60" s="316"/>
      <c r="T60" s="311"/>
    </row>
    <row r="61" spans="1:20" ht="15.6">
      <c r="A61" s="300">
        <v>23</v>
      </c>
      <c r="B61" s="339" t="s">
        <v>257</v>
      </c>
      <c r="C61" s="347"/>
      <c r="D61" s="347"/>
      <c r="E61" s="347"/>
      <c r="F61" s="341"/>
      <c r="G61" s="341"/>
      <c r="H61" s="345"/>
      <c r="I61" s="345"/>
      <c r="J61" s="345"/>
      <c r="K61" s="345"/>
      <c r="L61" s="345"/>
      <c r="M61" s="345"/>
      <c r="N61" s="345"/>
      <c r="O61" s="341">
        <f>O62</f>
        <v>163.2165</v>
      </c>
      <c r="P61" s="319">
        <v>0</v>
      </c>
      <c r="Q61" s="319">
        <v>0</v>
      </c>
      <c r="R61" s="328">
        <f>O61-P61-Q61</f>
        <v>163.2165</v>
      </c>
      <c r="T61" s="311"/>
    </row>
    <row r="62" spans="1:20" ht="15.6">
      <c r="B62" s="384" t="s">
        <v>279</v>
      </c>
      <c r="C62" s="342">
        <v>0</v>
      </c>
      <c r="D62" s="342">
        <v>0</v>
      </c>
      <c r="E62" s="342">
        <v>50</v>
      </c>
      <c r="F62" s="343">
        <f>F48</f>
        <v>2114.6999999999998</v>
      </c>
      <c r="G62" s="343">
        <f t="shared" ref="G62:N62" si="20">G48</f>
        <v>3021.3510000000001</v>
      </c>
      <c r="H62" s="343">
        <f t="shared" si="20"/>
        <v>6209.9530000000004</v>
      </c>
      <c r="I62" s="343">
        <f t="shared" si="20"/>
        <v>159.69999999999999</v>
      </c>
      <c r="J62" s="343">
        <f t="shared" si="20"/>
        <v>81.521000000000001</v>
      </c>
      <c r="K62" s="343">
        <f t="shared" si="20"/>
        <v>72.31</v>
      </c>
      <c r="L62" s="343">
        <f t="shared" si="20"/>
        <v>37.9</v>
      </c>
      <c r="M62" s="343">
        <f t="shared" si="20"/>
        <v>32.15</v>
      </c>
      <c r="N62" s="343">
        <f t="shared" si="20"/>
        <v>256.38299999999998</v>
      </c>
      <c r="O62" s="343">
        <f>SUM(F62:H62)*C62/100+SUM(I62:K62)*D62/100+SUM(L62:N62)*E62/100</f>
        <v>163.2165</v>
      </c>
      <c r="P62" s="319"/>
      <c r="Q62" s="319"/>
      <c r="R62" s="316"/>
      <c r="T62" s="311"/>
    </row>
    <row r="63" spans="1:20" ht="17.399999999999999">
      <c r="B63" s="389" t="s">
        <v>258</v>
      </c>
      <c r="C63" s="348"/>
      <c r="D63" s="348"/>
      <c r="E63" s="348"/>
      <c r="F63" s="348"/>
      <c r="G63" s="348"/>
      <c r="H63" s="348"/>
      <c r="I63" s="348"/>
      <c r="J63" s="348"/>
      <c r="K63" s="348"/>
      <c r="L63" s="348"/>
      <c r="M63" s="348"/>
      <c r="N63" s="348"/>
      <c r="O63" s="348"/>
      <c r="P63" s="348"/>
      <c r="Q63" s="348"/>
      <c r="R63" s="349">
        <f>R64</f>
        <v>7159.1299999999983</v>
      </c>
      <c r="T63" s="311"/>
    </row>
    <row r="64" spans="1:20" ht="15.6">
      <c r="A64" s="300">
        <v>24</v>
      </c>
      <c r="B64" s="350" t="s">
        <v>259</v>
      </c>
      <c r="C64" s="351"/>
      <c r="D64" s="351"/>
      <c r="E64" s="351"/>
      <c r="F64" s="351"/>
      <c r="G64" s="351"/>
      <c r="H64" s="351"/>
      <c r="I64" s="351"/>
      <c r="J64" s="351"/>
      <c r="K64" s="351"/>
      <c r="L64" s="351"/>
      <c r="M64" s="351"/>
      <c r="N64" s="351"/>
      <c r="O64" s="352">
        <f>O65+O66</f>
        <v>12392.829999999998</v>
      </c>
      <c r="P64" s="352">
        <f>P65+P66</f>
        <v>0</v>
      </c>
      <c r="Q64" s="352">
        <v>5233.7</v>
      </c>
      <c r="R64" s="328">
        <f>O64-P64-Q64</f>
        <v>7159.1299999999983</v>
      </c>
      <c r="T64" s="311"/>
    </row>
    <row r="65" spans="1:20" ht="15.6">
      <c r="B65" s="609" t="s">
        <v>282</v>
      </c>
      <c r="C65" s="351">
        <v>100</v>
      </c>
      <c r="D65" s="351">
        <v>100</v>
      </c>
      <c r="E65" s="351">
        <v>100</v>
      </c>
      <c r="F65" s="353">
        <f>'Sheet 1'!F38</f>
        <v>114.3</v>
      </c>
      <c r="G65" s="353">
        <f>'Sheet 1'!G38</f>
        <v>105</v>
      </c>
      <c r="H65" s="353">
        <f>'Sheet 1'!H38</f>
        <v>98</v>
      </c>
      <c r="I65" s="353">
        <f>'Sheet 1'!I15</f>
        <v>3320</v>
      </c>
      <c r="J65" s="353">
        <f>'Sheet 1'!J15</f>
        <v>4395.8</v>
      </c>
      <c r="K65" s="353">
        <f>'Sheet 1'!K15</f>
        <v>3475</v>
      </c>
      <c r="L65" s="354">
        <f>'Sheet 1'!C38</f>
        <v>0</v>
      </c>
      <c r="M65" s="354">
        <f>'Sheet 1'!D38</f>
        <v>0</v>
      </c>
      <c r="N65" s="354">
        <f>'Sheet 1'!E38</f>
        <v>0</v>
      </c>
      <c r="O65" s="354">
        <f>SUM(F65:H65)*C65/100+SUM(I65:K65)*D65/100+SUM(L65:N65)*E65/100</f>
        <v>11508.099999999999</v>
      </c>
      <c r="P65" s="319"/>
      <c r="Q65" s="319"/>
      <c r="R65" s="316"/>
      <c r="T65" s="311"/>
    </row>
    <row r="66" spans="1:20" ht="15.6">
      <c r="B66" s="609" t="s">
        <v>283</v>
      </c>
      <c r="C66" s="351">
        <v>0</v>
      </c>
      <c r="D66" s="351">
        <v>15</v>
      </c>
      <c r="E66" s="351">
        <v>0</v>
      </c>
      <c r="F66" s="353">
        <f>'Sheet 1'!F44</f>
        <v>3080.4</v>
      </c>
      <c r="G66" s="353">
        <f>'Sheet 1'!G44</f>
        <v>1693</v>
      </c>
      <c r="H66" s="353">
        <f>'Sheet 1'!H44</f>
        <v>2125</v>
      </c>
      <c r="I66" s="353">
        <f>'Sheet 1'!I21</f>
        <v>2451.6</v>
      </c>
      <c r="J66" s="353">
        <f>'Sheet 1'!J21</f>
        <v>1360.6</v>
      </c>
      <c r="K66" s="353">
        <f>'Sheet 1'!K21</f>
        <v>2086</v>
      </c>
      <c r="L66" s="354">
        <v>0</v>
      </c>
      <c r="M66" s="354">
        <v>0</v>
      </c>
      <c r="N66" s="354">
        <v>0</v>
      </c>
      <c r="O66" s="354">
        <f>SUM(F66:H66)*C66/100+SUM(I66:K66)*D66/100+SUM(L66:N66)*E66/100</f>
        <v>884.73</v>
      </c>
      <c r="P66" s="319"/>
      <c r="Q66" s="319"/>
      <c r="R66" s="316"/>
      <c r="T66" s="311"/>
    </row>
    <row r="67" spans="1:20" ht="17.399999999999999">
      <c r="B67" s="390" t="s">
        <v>260</v>
      </c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6">
        <f>O68+O71+O74</f>
        <v>6527.4690000000001</v>
      </c>
      <c r="P67" s="356">
        <f>P68+P71+P74</f>
        <v>2612</v>
      </c>
      <c r="Q67" s="356">
        <f>Q68+Q71+Q74</f>
        <v>3230.6</v>
      </c>
      <c r="R67" s="357">
        <f>R68+R71+R74</f>
        <v>684.86899999999991</v>
      </c>
      <c r="T67" s="311"/>
    </row>
    <row r="68" spans="1:20" ht="15.6">
      <c r="A68" s="300">
        <v>25</v>
      </c>
      <c r="B68" s="358" t="s">
        <v>261</v>
      </c>
      <c r="C68" s="359"/>
      <c r="D68" s="359"/>
      <c r="E68" s="359"/>
      <c r="F68" s="359"/>
      <c r="G68" s="359"/>
      <c r="H68" s="359"/>
      <c r="I68" s="359"/>
      <c r="J68" s="359"/>
      <c r="K68" s="359"/>
      <c r="L68" s="359"/>
      <c r="M68" s="359"/>
      <c r="N68" s="359"/>
      <c r="O68" s="360">
        <f>O69+O70</f>
        <v>965.4</v>
      </c>
      <c r="P68" s="319">
        <v>0</v>
      </c>
      <c r="Q68" s="319">
        <v>1249.5</v>
      </c>
      <c r="R68" s="328">
        <f>O68-P68-Q68</f>
        <v>-284.10000000000002</v>
      </c>
      <c r="T68" s="311"/>
    </row>
    <row r="69" spans="1:20" ht="15.6">
      <c r="B69" s="364" t="s">
        <v>284</v>
      </c>
      <c r="C69" s="359">
        <v>100</v>
      </c>
      <c r="D69" s="359">
        <v>50</v>
      </c>
      <c r="E69" s="359">
        <v>100</v>
      </c>
      <c r="F69" s="361">
        <f>'Sheet 1'!F37</f>
        <v>0</v>
      </c>
      <c r="G69" s="362">
        <f>'Sheet 1'!G37</f>
        <v>0</v>
      </c>
      <c r="H69" s="362">
        <f>'Sheet 1'!H37</f>
        <v>0</v>
      </c>
      <c r="I69" s="362">
        <f>'Sheet 1'!I14</f>
        <v>0</v>
      </c>
      <c r="J69" s="362">
        <f>'Sheet 1'!J14</f>
        <v>1470</v>
      </c>
      <c r="K69" s="362">
        <f>'Sheet 1'!K14</f>
        <v>460.8</v>
      </c>
      <c r="L69" s="362">
        <f>'Sheet 1'!C37</f>
        <v>0</v>
      </c>
      <c r="M69" s="362">
        <f>'Sheet 1'!D37</f>
        <v>0</v>
      </c>
      <c r="N69" s="362">
        <f>'Sheet 1'!E37</f>
        <v>0</v>
      </c>
      <c r="O69" s="363">
        <f>SUM(F69:H69)*C69/100+SUM(I69:K69)*D69/100+SUM(L69:N69)*E69/100</f>
        <v>965.4</v>
      </c>
      <c r="P69" s="319"/>
      <c r="Q69" s="319"/>
      <c r="R69" s="316"/>
      <c r="T69" s="311"/>
    </row>
    <row r="70" spans="1:20" ht="15.6">
      <c r="B70" s="364" t="s">
        <v>285</v>
      </c>
      <c r="C70" s="359">
        <v>100</v>
      </c>
      <c r="D70" s="359">
        <v>70</v>
      </c>
      <c r="E70" s="359">
        <v>100</v>
      </c>
      <c r="F70" s="362">
        <f>'Sheet 1'!F36</f>
        <v>0</v>
      </c>
      <c r="G70" s="362">
        <f>'Sheet 1'!G36</f>
        <v>0</v>
      </c>
      <c r="H70" s="362">
        <f>'Sheet 1'!H36</f>
        <v>0</v>
      </c>
      <c r="I70" s="362">
        <f>'Sheet 1'!I36</f>
        <v>0</v>
      </c>
      <c r="J70" s="362">
        <f>'Sheet 1'!J36</f>
        <v>0</v>
      </c>
      <c r="K70" s="362">
        <f>'Sheet 1'!K36</f>
        <v>0</v>
      </c>
      <c r="L70" s="362">
        <f>'Sheet 1'!C36</f>
        <v>0</v>
      </c>
      <c r="M70" s="362">
        <f>'Sheet 1'!D36</f>
        <v>0</v>
      </c>
      <c r="N70" s="362">
        <f>'Sheet 1'!E36</f>
        <v>0</v>
      </c>
      <c r="O70" s="363">
        <f>SUM(F70:H70)*C70/100+SUM(I70:K70)*D70/100+SUM(L70:N70)*E70/100</f>
        <v>0</v>
      </c>
      <c r="P70" s="319"/>
      <c r="Q70" s="319"/>
      <c r="R70" s="316"/>
      <c r="T70" s="311"/>
    </row>
    <row r="71" spans="1:20" ht="15.6">
      <c r="A71" s="300">
        <v>26</v>
      </c>
      <c r="B71" s="358" t="s">
        <v>262</v>
      </c>
      <c r="C71" s="359"/>
      <c r="D71" s="359"/>
      <c r="E71" s="359"/>
      <c r="F71" s="362"/>
      <c r="G71" s="362"/>
      <c r="H71" s="362"/>
      <c r="I71" s="362"/>
      <c r="J71" s="362"/>
      <c r="K71" s="362"/>
      <c r="L71" s="362"/>
      <c r="M71" s="362"/>
      <c r="N71" s="362"/>
      <c r="O71" s="360">
        <f>O72+O73</f>
        <v>965.4</v>
      </c>
      <c r="P71" s="319">
        <v>0</v>
      </c>
      <c r="Q71" s="319">
        <v>1211</v>
      </c>
      <c r="R71" s="328">
        <f>O71-P71-Q71</f>
        <v>-245.60000000000002</v>
      </c>
      <c r="T71" s="311"/>
    </row>
    <row r="72" spans="1:20" ht="15.6">
      <c r="B72" s="364" t="s">
        <v>270</v>
      </c>
      <c r="C72" s="359">
        <v>0</v>
      </c>
      <c r="D72" s="359">
        <v>50</v>
      </c>
      <c r="E72" s="359">
        <v>0</v>
      </c>
      <c r="F72" s="362">
        <f>F69</f>
        <v>0</v>
      </c>
      <c r="G72" s="362">
        <f t="shared" ref="G72:N72" si="21">G69</f>
        <v>0</v>
      </c>
      <c r="H72" s="362">
        <f t="shared" si="21"/>
        <v>0</v>
      </c>
      <c r="I72" s="362">
        <f t="shared" si="21"/>
        <v>0</v>
      </c>
      <c r="J72" s="362">
        <f t="shared" si="21"/>
        <v>1470</v>
      </c>
      <c r="K72" s="362">
        <f t="shared" si="21"/>
        <v>460.8</v>
      </c>
      <c r="L72" s="362">
        <f t="shared" si="21"/>
        <v>0</v>
      </c>
      <c r="M72" s="362">
        <f t="shared" si="21"/>
        <v>0</v>
      </c>
      <c r="N72" s="362">
        <f t="shared" si="21"/>
        <v>0</v>
      </c>
      <c r="O72" s="363">
        <f>SUM(F72:H72)*C72/100+SUM(I72:K72)*D72/100+SUM(L72:N72)*E72/100</f>
        <v>965.4</v>
      </c>
      <c r="P72" s="319"/>
      <c r="Q72" s="319"/>
      <c r="R72" s="316"/>
      <c r="T72" s="311"/>
    </row>
    <row r="73" spans="1:20" ht="15.6">
      <c r="B73" s="364" t="s">
        <v>285</v>
      </c>
      <c r="C73" s="359">
        <v>0</v>
      </c>
      <c r="D73" s="359">
        <v>30</v>
      </c>
      <c r="E73" s="359">
        <v>0</v>
      </c>
      <c r="F73" s="362">
        <f>F70</f>
        <v>0</v>
      </c>
      <c r="G73" s="362">
        <f t="shared" ref="G73:N73" si="22">G70</f>
        <v>0</v>
      </c>
      <c r="H73" s="362">
        <f t="shared" si="22"/>
        <v>0</v>
      </c>
      <c r="I73" s="362">
        <f t="shared" si="22"/>
        <v>0</v>
      </c>
      <c r="J73" s="362">
        <f t="shared" si="22"/>
        <v>0</v>
      </c>
      <c r="K73" s="362">
        <f t="shared" si="22"/>
        <v>0</v>
      </c>
      <c r="L73" s="362">
        <f t="shared" si="22"/>
        <v>0</v>
      </c>
      <c r="M73" s="362">
        <f t="shared" si="22"/>
        <v>0</v>
      </c>
      <c r="N73" s="362">
        <f t="shared" si="22"/>
        <v>0</v>
      </c>
      <c r="O73" s="363">
        <f>SUM(F73:H73)*C73/100+SUM(I73:K73)*D73/100+SUM(L73:N73)*E73/100</f>
        <v>0</v>
      </c>
      <c r="P73" s="319"/>
      <c r="Q73" s="319"/>
      <c r="R73" s="316"/>
    </row>
    <row r="74" spans="1:20" ht="15.6">
      <c r="A74" s="300">
        <v>27</v>
      </c>
      <c r="B74" s="358" t="s">
        <v>263</v>
      </c>
      <c r="C74" s="359"/>
      <c r="D74" s="359"/>
      <c r="E74" s="359"/>
      <c r="F74" s="362"/>
      <c r="G74" s="362"/>
      <c r="H74" s="362"/>
      <c r="I74" s="362"/>
      <c r="J74" s="362"/>
      <c r="K74" s="362"/>
      <c r="L74" s="362"/>
      <c r="M74" s="362"/>
      <c r="N74" s="362"/>
      <c r="O74" s="360">
        <f>O75+O76</f>
        <v>4596.6689999999999</v>
      </c>
      <c r="P74" s="319">
        <v>2612</v>
      </c>
      <c r="Q74" s="319">
        <v>770.1</v>
      </c>
      <c r="R74" s="328">
        <f>O74-P74-Q74</f>
        <v>1214.569</v>
      </c>
    </row>
    <row r="75" spans="1:20" ht="15.6">
      <c r="B75" s="364" t="s">
        <v>286</v>
      </c>
      <c r="C75" s="359">
        <v>100</v>
      </c>
      <c r="D75" s="359">
        <v>100</v>
      </c>
      <c r="E75" s="359">
        <v>100</v>
      </c>
      <c r="F75" s="362">
        <f>'Sheet 1'!F34</f>
        <v>0</v>
      </c>
      <c r="G75" s="362">
        <f>'Sheet 1'!G34</f>
        <v>0</v>
      </c>
      <c r="H75" s="362">
        <f>'Sheet 1'!H34</f>
        <v>0</v>
      </c>
      <c r="I75" s="362">
        <f>'Sheet 1'!I11</f>
        <v>2000</v>
      </c>
      <c r="J75" s="362">
        <f>'Sheet 1'!J11</f>
        <v>910</v>
      </c>
      <c r="K75" s="362">
        <f>'Sheet 1'!K11</f>
        <v>1588.5</v>
      </c>
      <c r="L75" s="362">
        <f>'Sheet 1'!C34</f>
        <v>0</v>
      </c>
      <c r="M75" s="362">
        <f>'Sheet 1'!D34</f>
        <v>0</v>
      </c>
      <c r="N75" s="362">
        <f>'Sheet 1'!E34</f>
        <v>0</v>
      </c>
      <c r="O75" s="363">
        <f>SUM(F75:H75)*C75/100+SUM(I75:K75)*D75/100+SUM(L75:N75)*E75/100</f>
        <v>4498.5</v>
      </c>
      <c r="P75" s="319"/>
      <c r="Q75" s="319"/>
      <c r="R75" s="316"/>
    </row>
    <row r="76" spans="1:20" ht="15.6">
      <c r="B76" s="364" t="s">
        <v>287</v>
      </c>
      <c r="C76" s="359">
        <v>100</v>
      </c>
      <c r="D76" s="359">
        <v>100</v>
      </c>
      <c r="E76" s="359">
        <v>100</v>
      </c>
      <c r="F76" s="362">
        <f>'Sheet 1'!F35</f>
        <v>0</v>
      </c>
      <c r="G76" s="362">
        <f>'Sheet 1'!G35</f>
        <v>0</v>
      </c>
      <c r="H76" s="362">
        <f>'Sheet 1'!H35</f>
        <v>0</v>
      </c>
      <c r="I76" s="362">
        <f>'Sheet 1'!I12</f>
        <v>0</v>
      </c>
      <c r="J76" s="362">
        <f>'Sheet 1'!J12</f>
        <v>0</v>
      </c>
      <c r="K76" s="362">
        <f>'Sheet 1'!K12</f>
        <v>98.168999999999997</v>
      </c>
      <c r="L76" s="362">
        <f>'Sheet 1'!C35</f>
        <v>0</v>
      </c>
      <c r="M76" s="362">
        <f>'Sheet 1'!D35</f>
        <v>0</v>
      </c>
      <c r="N76" s="362">
        <f>'Sheet 1'!E35</f>
        <v>0</v>
      </c>
      <c r="O76" s="363">
        <f>SUM(F76:H76)*C76/100+SUM(I76:K76)*D76/100+SUM(L76:N76)*E76/100</f>
        <v>98.168999999999997</v>
      </c>
      <c r="P76" s="319"/>
      <c r="Q76" s="319"/>
      <c r="R76" s="316"/>
    </row>
    <row r="77" spans="1:20" ht="17.399999999999999">
      <c r="B77" s="391" t="s">
        <v>266</v>
      </c>
      <c r="C77" s="365"/>
      <c r="D77" s="365"/>
      <c r="E77" s="365"/>
      <c r="F77" s="365"/>
      <c r="G77" s="365"/>
      <c r="H77" s="365"/>
      <c r="I77" s="365"/>
      <c r="J77" s="365"/>
      <c r="K77" s="365"/>
      <c r="L77" s="365"/>
      <c r="M77" s="365"/>
      <c r="N77" s="365"/>
      <c r="O77" s="366">
        <f>O78</f>
        <v>6654.396999999999</v>
      </c>
      <c r="P77" s="366">
        <f>P78</f>
        <v>0</v>
      </c>
      <c r="Q77" s="366">
        <f>Q78</f>
        <v>7244.1</v>
      </c>
      <c r="R77" s="367">
        <f>R78</f>
        <v>-589.70300000000134</v>
      </c>
    </row>
    <row r="78" spans="1:20" ht="15.6">
      <c r="A78" s="300">
        <v>28</v>
      </c>
      <c r="B78" s="368" t="s">
        <v>264</v>
      </c>
      <c r="C78" s="369"/>
      <c r="D78" s="369"/>
      <c r="E78" s="369"/>
      <c r="F78" s="369"/>
      <c r="G78" s="369"/>
      <c r="H78" s="369"/>
      <c r="I78" s="369"/>
      <c r="J78" s="369"/>
      <c r="K78" s="369"/>
      <c r="L78" s="369"/>
      <c r="M78" s="369"/>
      <c r="N78" s="369"/>
      <c r="O78" s="370">
        <f>O79</f>
        <v>6654.396999999999</v>
      </c>
      <c r="P78" s="319">
        <v>0</v>
      </c>
      <c r="Q78" s="319">
        <v>7244.1</v>
      </c>
      <c r="R78" s="328">
        <f>O78-P78-Q78</f>
        <v>-589.70300000000134</v>
      </c>
    </row>
    <row r="79" spans="1:20" ht="27.6">
      <c r="B79" s="392" t="s">
        <v>280</v>
      </c>
      <c r="C79" s="369">
        <v>100</v>
      </c>
      <c r="D79" s="369">
        <v>100</v>
      </c>
      <c r="E79" s="369">
        <v>100</v>
      </c>
      <c r="F79" s="371">
        <f>'Sheet 1'!F46</f>
        <v>2641.7</v>
      </c>
      <c r="G79" s="371">
        <f>'Sheet 1'!G46</f>
        <v>1992.6</v>
      </c>
      <c r="H79" s="371">
        <f>'Sheet 1'!H46</f>
        <v>1635.0867000000001</v>
      </c>
      <c r="I79" s="371">
        <f>'Sheet 1'!I23</f>
        <v>41.2</v>
      </c>
      <c r="J79" s="371">
        <f>'Sheet 1'!J23</f>
        <v>77</v>
      </c>
      <c r="K79" s="371">
        <f>'Sheet 1'!K23</f>
        <v>31.134399999999999</v>
      </c>
      <c r="L79" s="371">
        <f>'Sheet 1'!C46</f>
        <v>41.8</v>
      </c>
      <c r="M79" s="371">
        <f>'Sheet 1'!D46</f>
        <v>70.430000000000007</v>
      </c>
      <c r="N79" s="371">
        <f>'Sheet 1'!E46</f>
        <v>123.44589999999999</v>
      </c>
      <c r="O79" s="371">
        <f>SUM(F79:H79)*C79/100+SUM(I79:K79)*D79/100+SUM(L79:N79)*E79/100</f>
        <v>6654.396999999999</v>
      </c>
      <c r="P79" s="319"/>
      <c r="Q79" s="372"/>
      <c r="R79" s="316"/>
    </row>
    <row r="80" spans="1:20" ht="17.399999999999999">
      <c r="B80" s="393" t="s">
        <v>265</v>
      </c>
      <c r="C80" s="373"/>
      <c r="D80" s="373"/>
      <c r="E80" s="373"/>
      <c r="F80" s="373"/>
      <c r="G80" s="373"/>
      <c r="H80" s="373"/>
      <c r="I80" s="373"/>
      <c r="J80" s="373"/>
      <c r="K80" s="373"/>
      <c r="L80" s="373"/>
      <c r="M80" s="373"/>
      <c r="N80" s="373"/>
      <c r="O80" s="374">
        <f>O81</f>
        <v>11911.869999999999</v>
      </c>
      <c r="P80" s="374">
        <f>P81</f>
        <v>0</v>
      </c>
      <c r="Q80" s="374">
        <f>Q81</f>
        <v>10983</v>
      </c>
      <c r="R80" s="375">
        <f>R81</f>
        <v>928.86999999999898</v>
      </c>
    </row>
    <row r="81" spans="1:18" ht="15.6">
      <c r="A81" s="300">
        <v>29</v>
      </c>
      <c r="B81" s="376" t="s">
        <v>267</v>
      </c>
      <c r="C81" s="377"/>
      <c r="D81" s="377"/>
      <c r="E81" s="377"/>
      <c r="F81" s="377"/>
      <c r="G81" s="377"/>
      <c r="H81" s="377"/>
      <c r="I81" s="377"/>
      <c r="J81" s="377"/>
      <c r="K81" s="377"/>
      <c r="L81" s="377"/>
      <c r="M81" s="377"/>
      <c r="N81" s="377"/>
      <c r="O81" s="377">
        <f>O82</f>
        <v>11911.869999999999</v>
      </c>
      <c r="P81" s="319">
        <v>0</v>
      </c>
      <c r="Q81" s="319">
        <v>10983</v>
      </c>
      <c r="R81" s="328">
        <f>O81-P81-Q81</f>
        <v>928.86999999999898</v>
      </c>
    </row>
    <row r="82" spans="1:18" ht="15.6">
      <c r="B82" s="385" t="s">
        <v>283</v>
      </c>
      <c r="C82" s="377">
        <v>100</v>
      </c>
      <c r="D82" s="377">
        <v>85</v>
      </c>
      <c r="E82" s="377">
        <v>0</v>
      </c>
      <c r="F82" s="378">
        <f>'Sheet 1'!F44</f>
        <v>3080.4</v>
      </c>
      <c r="G82" s="378">
        <f>'Sheet 1'!G44</f>
        <v>1693</v>
      </c>
      <c r="H82" s="378">
        <f>'Sheet 1'!H44</f>
        <v>2125</v>
      </c>
      <c r="I82" s="378">
        <f t="shared" ref="I82:N82" si="23">I66</f>
        <v>2451.6</v>
      </c>
      <c r="J82" s="378">
        <f t="shared" si="23"/>
        <v>1360.6</v>
      </c>
      <c r="K82" s="378">
        <f t="shared" si="23"/>
        <v>2086</v>
      </c>
      <c r="L82" s="378">
        <f t="shared" si="23"/>
        <v>0</v>
      </c>
      <c r="M82" s="378">
        <f t="shared" si="23"/>
        <v>0</v>
      </c>
      <c r="N82" s="378">
        <f t="shared" si="23"/>
        <v>0</v>
      </c>
      <c r="O82" s="378">
        <f>SUM(F82:H82)*C82/100+SUM(I82:K82)*D82/100+SUM(L82:N82)*E82/100</f>
        <v>11911.869999999999</v>
      </c>
      <c r="P82" s="319"/>
      <c r="Q82" s="319"/>
      <c r="R82" s="316"/>
    </row>
    <row r="83" spans="1:18" ht="15.6">
      <c r="R83" s="386">
        <f>R8+R18+R24+R32+R63+R74+R80</f>
        <v>107047.77459999999</v>
      </c>
    </row>
    <row r="84" spans="1:18">
      <c r="R84" s="379"/>
    </row>
  </sheetData>
  <mergeCells count="22">
    <mergeCell ref="B1:R1"/>
    <mergeCell ref="B2:Q2"/>
    <mergeCell ref="P4:Q5"/>
    <mergeCell ref="P6:P7"/>
    <mergeCell ref="Q6:Q7"/>
    <mergeCell ref="F5:H5"/>
    <mergeCell ref="I5:K5"/>
    <mergeCell ref="L5:N5"/>
    <mergeCell ref="K6:K7"/>
    <mergeCell ref="L6:L7"/>
    <mergeCell ref="M6:M7"/>
    <mergeCell ref="N6:N7"/>
    <mergeCell ref="R4:R7"/>
    <mergeCell ref="F4:O4"/>
    <mergeCell ref="O6:O7"/>
    <mergeCell ref="C4:E6"/>
    <mergeCell ref="B4:B7"/>
    <mergeCell ref="F6:F7"/>
    <mergeCell ref="G6:G7"/>
    <mergeCell ref="H6:H7"/>
    <mergeCell ref="I6:I7"/>
    <mergeCell ref="J6:J7"/>
  </mergeCells>
  <pageMargins left="0.24" right="0.16" top="0.75" bottom="0.28000000000000003" header="0.3" footer="0.2"/>
  <pageSetup paperSize="9" scale="75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1"/>
  <sheetViews>
    <sheetView topLeftCell="C1" workbookViewId="0">
      <pane ySplit="7" topLeftCell="A120" activePane="bottomLeft" state="frozen"/>
      <selection activeCell="B1" sqref="B1"/>
      <selection pane="bottomLeft" activeCell="J11" sqref="J11"/>
    </sheetView>
  </sheetViews>
  <sheetFormatPr defaultColWidth="9.109375" defaultRowHeight="13.8"/>
  <cols>
    <col min="1" max="1" width="0.88671875" style="401" hidden="1" customWidth="1"/>
    <col min="2" max="2" width="35.88671875" style="402" customWidth="1"/>
    <col min="3" max="3" width="5.44140625" style="403" customWidth="1"/>
    <col min="4" max="4" width="4.88671875" style="403" customWidth="1"/>
    <col min="5" max="5" width="7.44140625" style="403" customWidth="1"/>
    <col min="6" max="6" width="12.109375" style="403" customWidth="1"/>
    <col min="7" max="7" width="8.88671875" style="403" customWidth="1"/>
    <col min="8" max="8" width="10.88671875" style="403" customWidth="1"/>
    <col min="9" max="9" width="10.44140625" style="403" customWidth="1"/>
    <col min="10" max="10" width="10" style="403" bestFit="1" customWidth="1"/>
    <col min="11" max="11" width="10" style="403" customWidth="1"/>
    <col min="12" max="12" width="11.109375" style="403" customWidth="1"/>
    <col min="13" max="13" width="10.88671875" style="403" customWidth="1"/>
    <col min="14" max="14" width="10.5546875" style="403" customWidth="1"/>
    <col min="15" max="15" width="12.6640625" style="403" customWidth="1"/>
    <col min="16" max="16" width="12.88671875" style="403" customWidth="1"/>
    <col min="17" max="17" width="12.33203125" style="403" customWidth="1"/>
    <col min="18" max="18" width="16.33203125" style="403" customWidth="1"/>
    <col min="19" max="19" width="9.109375" style="402"/>
    <col min="20" max="20" width="12" style="402" customWidth="1"/>
    <col min="21" max="16384" width="9.109375" style="402"/>
  </cols>
  <sheetData>
    <row r="1" spans="1:20" ht="15.6">
      <c r="B1" s="1251" t="s">
        <v>271</v>
      </c>
      <c r="C1" s="1251"/>
      <c r="D1" s="1251"/>
      <c r="E1" s="1251"/>
      <c r="F1" s="1251"/>
      <c r="G1" s="1251"/>
      <c r="H1" s="1251"/>
      <c r="I1" s="1251"/>
      <c r="J1" s="1251"/>
      <c r="K1" s="1251"/>
      <c r="L1" s="1251"/>
      <c r="M1" s="1251"/>
      <c r="N1" s="1251"/>
      <c r="O1" s="1251"/>
      <c r="P1" s="1251"/>
      <c r="Q1" s="1251"/>
      <c r="R1" s="1251"/>
    </row>
    <row r="2" spans="1:20" ht="15.6">
      <c r="B2" s="1252" t="s">
        <v>328</v>
      </c>
      <c r="C2" s="1252"/>
      <c r="D2" s="1252"/>
      <c r="E2" s="1252"/>
      <c r="F2" s="1252"/>
      <c r="G2" s="1252"/>
      <c r="H2" s="1252"/>
      <c r="I2" s="1252"/>
      <c r="J2" s="1252"/>
      <c r="K2" s="1252"/>
      <c r="L2" s="1252"/>
      <c r="M2" s="1252"/>
      <c r="N2" s="1252"/>
      <c r="O2" s="1252"/>
      <c r="P2" s="1252"/>
      <c r="Q2" s="1252"/>
      <c r="R2" s="607"/>
    </row>
    <row r="3" spans="1:20"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551" t="s">
        <v>288</v>
      </c>
    </row>
    <row r="4" spans="1:20" ht="21" customHeight="1">
      <c r="B4" s="1253" t="s">
        <v>221</v>
      </c>
      <c r="C4" s="1254" t="s">
        <v>329</v>
      </c>
      <c r="D4" s="1255"/>
      <c r="E4" s="1256"/>
      <c r="F4" s="1253" t="s">
        <v>371</v>
      </c>
      <c r="G4" s="1263"/>
      <c r="H4" s="1263"/>
      <c r="I4" s="1263"/>
      <c r="J4" s="1263"/>
      <c r="K4" s="1263"/>
      <c r="L4" s="1263"/>
      <c r="M4" s="1263"/>
      <c r="N4" s="1263"/>
      <c r="O4" s="1264"/>
      <c r="P4" s="1254" t="s">
        <v>289</v>
      </c>
      <c r="Q4" s="1256"/>
      <c r="R4" s="1246" t="s">
        <v>319</v>
      </c>
    </row>
    <row r="5" spans="1:20" ht="55.8" customHeight="1">
      <c r="B5" s="1253"/>
      <c r="C5" s="1257"/>
      <c r="D5" s="1258"/>
      <c r="E5" s="1259"/>
      <c r="F5" s="1246" t="s">
        <v>222</v>
      </c>
      <c r="G5" s="1246"/>
      <c r="H5" s="1246"/>
      <c r="I5" s="1253" t="s">
        <v>223</v>
      </c>
      <c r="J5" s="1263"/>
      <c r="K5" s="1264"/>
      <c r="L5" s="1253" t="s">
        <v>290</v>
      </c>
      <c r="M5" s="1263"/>
      <c r="N5" s="1264"/>
      <c r="O5" s="404" t="s">
        <v>225</v>
      </c>
      <c r="P5" s="1260"/>
      <c r="Q5" s="1262"/>
      <c r="R5" s="1246"/>
    </row>
    <row r="6" spans="1:20" ht="4.8" customHeight="1">
      <c r="B6" s="1253"/>
      <c r="C6" s="1260"/>
      <c r="D6" s="1261"/>
      <c r="E6" s="1262"/>
      <c r="F6" s="1246">
        <v>2013</v>
      </c>
      <c r="G6" s="1246">
        <v>2014</v>
      </c>
      <c r="H6" s="1247">
        <v>2015</v>
      </c>
      <c r="I6" s="1246">
        <v>2013</v>
      </c>
      <c r="J6" s="1246">
        <v>2014</v>
      </c>
      <c r="K6" s="1247">
        <v>2015</v>
      </c>
      <c r="L6" s="1246">
        <v>2013</v>
      </c>
      <c r="M6" s="1246">
        <v>2014</v>
      </c>
      <c r="N6" s="1247">
        <v>2015</v>
      </c>
      <c r="O6" s="1249" t="s">
        <v>318</v>
      </c>
      <c r="P6" s="1246">
        <v>2015</v>
      </c>
      <c r="Q6" s="1246">
        <v>2016</v>
      </c>
      <c r="R6" s="1246"/>
    </row>
    <row r="7" spans="1:20" ht="30" customHeight="1" thickBot="1">
      <c r="B7" s="1254"/>
      <c r="C7" s="405" t="s">
        <v>228</v>
      </c>
      <c r="D7" s="405" t="s">
        <v>291</v>
      </c>
      <c r="E7" s="405" t="s">
        <v>292</v>
      </c>
      <c r="F7" s="1246"/>
      <c r="G7" s="1246"/>
      <c r="H7" s="1250"/>
      <c r="I7" s="1246"/>
      <c r="J7" s="1246"/>
      <c r="K7" s="1250"/>
      <c r="L7" s="1246"/>
      <c r="M7" s="1246"/>
      <c r="N7" s="1248"/>
      <c r="O7" s="1249"/>
      <c r="P7" s="1246"/>
      <c r="Q7" s="1246"/>
      <c r="R7" s="1246"/>
    </row>
    <row r="8" spans="1:20" s="412" customFormat="1" ht="17.399999999999999">
      <c r="A8" s="406">
        <v>1</v>
      </c>
      <c r="B8" s="576" t="s">
        <v>227</v>
      </c>
      <c r="C8" s="407"/>
      <c r="D8" s="407"/>
      <c r="E8" s="407"/>
      <c r="F8" s="408">
        <f t="shared" ref="F8:N8" si="0">SUM(F9:F14)</f>
        <v>572.82000000000005</v>
      </c>
      <c r="G8" s="408">
        <f t="shared" si="0"/>
        <v>825.50400000000002</v>
      </c>
      <c r="H8" s="408">
        <f t="shared" si="0"/>
        <v>480.60900000000004</v>
      </c>
      <c r="I8" s="408">
        <f t="shared" si="0"/>
        <v>13903.7</v>
      </c>
      <c r="J8" s="408">
        <f t="shared" si="0"/>
        <v>8945.9150000000009</v>
      </c>
      <c r="K8" s="408">
        <f t="shared" si="0"/>
        <v>9497.5730000000003</v>
      </c>
      <c r="L8" s="408">
        <f t="shared" si="0"/>
        <v>18482.699999999997</v>
      </c>
      <c r="M8" s="408">
        <f t="shared" si="0"/>
        <v>20966.007000000001</v>
      </c>
      <c r="N8" s="408">
        <f t="shared" si="0"/>
        <v>15982.145999999999</v>
      </c>
      <c r="O8" s="409">
        <f>SUM(F8:M8)</f>
        <v>73674.827999999994</v>
      </c>
      <c r="P8" s="410">
        <v>94026.7</v>
      </c>
      <c r="Q8" s="410">
        <v>0</v>
      </c>
      <c r="R8" s="411">
        <f>O8-P8-Q8</f>
        <v>-20351.872000000003</v>
      </c>
      <c r="T8" s="413"/>
    </row>
    <row r="9" spans="1:20" ht="15.6">
      <c r="B9" s="577" t="s">
        <v>231</v>
      </c>
      <c r="C9" s="553">
        <v>100</v>
      </c>
      <c r="D9" s="414">
        <v>100</v>
      </c>
      <c r="E9" s="414">
        <v>100</v>
      </c>
      <c r="F9" s="415">
        <v>83.5</v>
      </c>
      <c r="G9" s="415">
        <v>102.087</v>
      </c>
      <c r="H9" s="416">
        <v>118.82</v>
      </c>
      <c r="I9" s="415">
        <v>6093.7</v>
      </c>
      <c r="J9" s="415">
        <v>6307.6480000000001</v>
      </c>
      <c r="K9" s="416">
        <v>7106.866</v>
      </c>
      <c r="L9" s="415">
        <v>23.3</v>
      </c>
      <c r="M9" s="415">
        <v>19.446999999999999</v>
      </c>
      <c r="N9" s="416">
        <v>19.396000000000001</v>
      </c>
      <c r="O9" s="417">
        <f t="shared" ref="O9:O14" si="1">SUM(F9:H9)*C9/100+SUM(I9:K9)*D9/100+SUM(L9:N9)*E9/100</f>
        <v>19874.763999999999</v>
      </c>
      <c r="P9" s="418"/>
      <c r="Q9" s="419"/>
      <c r="R9" s="420"/>
      <c r="T9" s="421"/>
    </row>
    <row r="10" spans="1:20" ht="18" customHeight="1">
      <c r="B10" s="577" t="s">
        <v>232</v>
      </c>
      <c r="C10" s="553">
        <v>100</v>
      </c>
      <c r="D10" s="414">
        <v>100</v>
      </c>
      <c r="E10" s="414">
        <v>100</v>
      </c>
      <c r="F10" s="415">
        <v>11.5</v>
      </c>
      <c r="G10" s="415">
        <v>11.446999999999999</v>
      </c>
      <c r="H10" s="416">
        <v>0</v>
      </c>
      <c r="I10" s="415">
        <v>112.2</v>
      </c>
      <c r="J10" s="415">
        <v>88.1</v>
      </c>
      <c r="K10" s="416">
        <v>31</v>
      </c>
      <c r="L10" s="415">
        <v>10.7</v>
      </c>
      <c r="M10" s="415">
        <v>15.76</v>
      </c>
      <c r="N10" s="416">
        <v>0</v>
      </c>
      <c r="O10" s="417">
        <f t="shared" si="1"/>
        <v>280.70699999999999</v>
      </c>
      <c r="P10" s="418"/>
      <c r="Q10" s="422"/>
      <c r="R10" s="420"/>
      <c r="T10" s="421"/>
    </row>
    <row r="11" spans="1:20" ht="13.5" customHeight="1">
      <c r="B11" s="577" t="s">
        <v>233</v>
      </c>
      <c r="C11" s="553">
        <v>100</v>
      </c>
      <c r="D11" s="414">
        <v>100</v>
      </c>
      <c r="E11" s="414">
        <v>100</v>
      </c>
      <c r="F11" s="423">
        <v>0</v>
      </c>
      <c r="G11" s="415">
        <v>0</v>
      </c>
      <c r="H11" s="416">
        <v>0</v>
      </c>
      <c r="I11" s="415">
        <v>89.8</v>
      </c>
      <c r="J11" s="415">
        <v>81</v>
      </c>
      <c r="K11" s="416">
        <v>135.565</v>
      </c>
      <c r="L11" s="415">
        <v>0.9</v>
      </c>
      <c r="M11" s="415">
        <v>17.2</v>
      </c>
      <c r="N11" s="416">
        <v>0</v>
      </c>
      <c r="O11" s="417">
        <f t="shared" si="1"/>
        <v>324.46500000000003</v>
      </c>
      <c r="P11" s="418"/>
      <c r="Q11" s="419"/>
      <c r="R11" s="420"/>
      <c r="T11" s="421"/>
    </row>
    <row r="12" spans="1:20" ht="15.6">
      <c r="B12" s="577" t="s">
        <v>269</v>
      </c>
      <c r="C12" s="553">
        <v>100</v>
      </c>
      <c r="D12" s="414">
        <v>100</v>
      </c>
      <c r="E12" s="414">
        <v>100</v>
      </c>
      <c r="F12" s="415">
        <v>147.1</v>
      </c>
      <c r="G12" s="415">
        <v>227.001</v>
      </c>
      <c r="H12" s="416">
        <v>247.33600000000001</v>
      </c>
      <c r="I12" s="415">
        <v>1523.8</v>
      </c>
      <c r="J12" s="415">
        <v>1643.2860000000001</v>
      </c>
      <c r="K12" s="416">
        <v>1378.4</v>
      </c>
      <c r="L12" s="415">
        <v>6290.4</v>
      </c>
      <c r="M12" s="415">
        <v>5913.6</v>
      </c>
      <c r="N12" s="416">
        <v>5011.2</v>
      </c>
      <c r="O12" s="417">
        <f t="shared" si="1"/>
        <v>22382.123</v>
      </c>
      <c r="P12" s="418"/>
      <c r="Q12" s="419"/>
      <c r="R12" s="420"/>
      <c r="T12" s="421"/>
    </row>
    <row r="13" spans="1:20" ht="17.25" customHeight="1">
      <c r="B13" s="577" t="s">
        <v>332</v>
      </c>
      <c r="C13" s="553">
        <v>100</v>
      </c>
      <c r="D13" s="414">
        <v>100</v>
      </c>
      <c r="E13" s="414">
        <v>100</v>
      </c>
      <c r="F13" s="415">
        <v>330.72</v>
      </c>
      <c r="G13" s="415">
        <v>484.96899999999999</v>
      </c>
      <c r="H13" s="416">
        <v>114.453</v>
      </c>
      <c r="I13" s="415">
        <v>6084.2</v>
      </c>
      <c r="J13" s="415">
        <v>825.88099999999997</v>
      </c>
      <c r="K13" s="416">
        <v>845.74199999999996</v>
      </c>
      <c r="L13" s="415">
        <v>12157.4</v>
      </c>
      <c r="M13" s="415">
        <v>15000</v>
      </c>
      <c r="N13" s="416">
        <v>10951.55</v>
      </c>
      <c r="O13" s="417">
        <f t="shared" si="1"/>
        <v>46794.914999999994</v>
      </c>
      <c r="P13" s="424"/>
      <c r="Q13" s="419"/>
      <c r="R13" s="420"/>
      <c r="T13" s="421"/>
    </row>
    <row r="14" spans="1:20" ht="17.25" customHeight="1">
      <c r="B14" s="577" t="s">
        <v>234</v>
      </c>
      <c r="C14" s="553">
        <v>100</v>
      </c>
      <c r="D14" s="414">
        <v>100</v>
      </c>
      <c r="E14" s="414">
        <v>100</v>
      </c>
      <c r="F14" s="423">
        <v>0</v>
      </c>
      <c r="G14" s="415">
        <v>0</v>
      </c>
      <c r="H14" s="416">
        <v>0</v>
      </c>
      <c r="I14" s="415">
        <v>0</v>
      </c>
      <c r="J14" s="415">
        <v>0</v>
      </c>
      <c r="K14" s="416">
        <v>0</v>
      </c>
      <c r="L14" s="415">
        <v>0</v>
      </c>
      <c r="M14" s="415">
        <v>0</v>
      </c>
      <c r="N14" s="416">
        <v>0</v>
      </c>
      <c r="O14" s="417">
        <f t="shared" si="1"/>
        <v>0</v>
      </c>
      <c r="P14" s="424"/>
      <c r="Q14" s="419"/>
      <c r="R14" s="420"/>
      <c r="T14" s="421"/>
    </row>
    <row r="15" spans="1:20" ht="17.25" customHeight="1">
      <c r="B15" s="578" t="s">
        <v>293</v>
      </c>
      <c r="C15" s="554"/>
      <c r="D15" s="425"/>
      <c r="E15" s="425"/>
      <c r="F15" s="425"/>
      <c r="G15" s="425"/>
      <c r="H15" s="425"/>
      <c r="I15" s="425"/>
      <c r="J15" s="425"/>
      <c r="K15" s="425"/>
      <c r="L15" s="425"/>
      <c r="M15" s="425"/>
      <c r="N15" s="425"/>
      <c r="O15" s="426">
        <f>O16+O18+O21+O23+O25+O27+O29</f>
        <v>305827.15761450003</v>
      </c>
      <c r="P15" s="426">
        <f>P16+P18+P21+P23+P25+P27+P29</f>
        <v>148750.07700000002</v>
      </c>
      <c r="Q15" s="427"/>
      <c r="R15" s="428">
        <f>R16+R18+R21+R23+R25+R27+R29+R31+R34+R37+R39+R42</f>
        <v>108919.09174749996</v>
      </c>
      <c r="T15" s="421"/>
    </row>
    <row r="16" spans="1:20" ht="15">
      <c r="A16" s="401">
        <v>2</v>
      </c>
      <c r="B16" s="626" t="s">
        <v>236</v>
      </c>
      <c r="C16" s="555"/>
      <c r="D16" s="407"/>
      <c r="E16" s="407"/>
      <c r="F16" s="429"/>
      <c r="G16" s="429"/>
      <c r="H16" s="407"/>
      <c r="I16" s="429"/>
      <c r="J16" s="429"/>
      <c r="K16" s="407"/>
      <c r="L16" s="429"/>
      <c r="M16" s="429"/>
      <c r="N16" s="407"/>
      <c r="O16" s="429">
        <f>O17</f>
        <v>123854.8177435</v>
      </c>
      <c r="P16" s="430">
        <v>94097.1</v>
      </c>
      <c r="Q16" s="430">
        <v>0</v>
      </c>
      <c r="R16" s="431">
        <f>O16-P16-Q16</f>
        <v>29757.71774349999</v>
      </c>
      <c r="T16" s="421"/>
    </row>
    <row r="17" spans="1:20" ht="15.6">
      <c r="B17" s="627" t="s">
        <v>320</v>
      </c>
      <c r="C17" s="556">
        <v>40.5</v>
      </c>
      <c r="D17" s="432">
        <v>40</v>
      </c>
      <c r="E17" s="432">
        <v>100</v>
      </c>
      <c r="F17" s="433">
        <v>1217.0999999999999</v>
      </c>
      <c r="G17" s="433">
        <v>1979.2322999999999</v>
      </c>
      <c r="H17" s="434">
        <v>5816.5684000000001</v>
      </c>
      <c r="I17" s="435">
        <v>104141.8</v>
      </c>
      <c r="J17" s="435">
        <v>84014.182400000005</v>
      </c>
      <c r="K17" s="434">
        <v>112355.5</v>
      </c>
      <c r="L17" s="435">
        <v>0</v>
      </c>
      <c r="M17" s="435">
        <v>0</v>
      </c>
      <c r="N17" s="434">
        <v>0</v>
      </c>
      <c r="O17" s="435">
        <f>SUM(F17:H17)*C17/100+SUM(I17:K17)*D17/100+SUM(L17:N17)*E17/100</f>
        <v>123854.8177435</v>
      </c>
      <c r="P17" s="436"/>
      <c r="Q17" s="436"/>
      <c r="R17" s="420"/>
      <c r="T17" s="421"/>
    </row>
    <row r="18" spans="1:20" ht="15">
      <c r="A18" s="401">
        <v>3</v>
      </c>
      <c r="B18" s="626" t="s">
        <v>237</v>
      </c>
      <c r="C18" s="555"/>
      <c r="D18" s="407"/>
      <c r="E18" s="407"/>
      <c r="F18" s="407"/>
      <c r="G18" s="407"/>
      <c r="H18" s="407"/>
      <c r="I18" s="407"/>
      <c r="J18" s="407"/>
      <c r="K18" s="407"/>
      <c r="L18" s="407"/>
      <c r="M18" s="429"/>
      <c r="N18" s="407"/>
      <c r="O18" s="429">
        <f>O19+O20</f>
        <v>1485.1924170000002</v>
      </c>
      <c r="P18" s="430">
        <v>0</v>
      </c>
      <c r="Q18" s="430">
        <v>4588.2</v>
      </c>
      <c r="R18" s="431">
        <f>O18-P18-Q18</f>
        <v>-3103.0075829999996</v>
      </c>
      <c r="T18" s="421"/>
    </row>
    <row r="19" spans="1:20" s="443" customFormat="1" ht="33.75" customHeight="1">
      <c r="A19" s="437"/>
      <c r="B19" s="628" t="s">
        <v>321</v>
      </c>
      <c r="C19" s="601">
        <v>10.5</v>
      </c>
      <c r="D19" s="602">
        <v>100</v>
      </c>
      <c r="E19" s="602">
        <v>40</v>
      </c>
      <c r="F19" s="603">
        <v>1497.8</v>
      </c>
      <c r="G19" s="603">
        <v>3744.2750000000001</v>
      </c>
      <c r="H19" s="604">
        <v>2995.3</v>
      </c>
      <c r="I19" s="603">
        <v>14</v>
      </c>
      <c r="J19" s="603">
        <v>35.393999999999998</v>
      </c>
      <c r="K19" s="604">
        <v>30.1</v>
      </c>
      <c r="L19" s="603">
        <v>0</v>
      </c>
      <c r="M19" s="603">
        <v>0</v>
      </c>
      <c r="N19" s="604">
        <v>0</v>
      </c>
      <c r="O19" s="605">
        <f>SUM(F19:H19)*C19/100+SUM(I19:K19)*D19/100+SUM(L19:N19)*E19/100</f>
        <v>944.41837500000008</v>
      </c>
      <c r="P19" s="441"/>
      <c r="Q19" s="441"/>
      <c r="R19" s="442"/>
      <c r="T19" s="444"/>
    </row>
    <row r="20" spans="1:20" s="443" customFormat="1" ht="15.6">
      <c r="A20" s="437"/>
      <c r="B20" s="627" t="s">
        <v>320</v>
      </c>
      <c r="C20" s="557">
        <v>6</v>
      </c>
      <c r="D20" s="438">
        <v>0</v>
      </c>
      <c r="E20" s="438">
        <v>0</v>
      </c>
      <c r="F20" s="433">
        <v>1217.0999999999999</v>
      </c>
      <c r="G20" s="433">
        <v>1979.2322999999999</v>
      </c>
      <c r="H20" s="445">
        <v>5816.5684000000001</v>
      </c>
      <c r="I20" s="433">
        <v>104141.8</v>
      </c>
      <c r="J20" s="433">
        <v>84014.182400000005</v>
      </c>
      <c r="K20" s="445">
        <v>112355.5</v>
      </c>
      <c r="L20" s="433">
        <v>0</v>
      </c>
      <c r="M20" s="433">
        <v>0</v>
      </c>
      <c r="N20" s="445">
        <v>0</v>
      </c>
      <c r="O20" s="440">
        <f>SUM(F20:H20)*C20/100+SUM(I20:K20)*D20/100+SUM(L20:N20)*E20/100</f>
        <v>540.77404200000001</v>
      </c>
      <c r="P20" s="441"/>
      <c r="Q20" s="441"/>
      <c r="R20" s="442"/>
      <c r="T20" s="444"/>
    </row>
    <row r="21" spans="1:20" s="443" customFormat="1" ht="15">
      <c r="A21" s="437">
        <v>4</v>
      </c>
      <c r="B21" s="629" t="s">
        <v>238</v>
      </c>
      <c r="C21" s="558"/>
      <c r="D21" s="446"/>
      <c r="E21" s="446"/>
      <c r="F21" s="447"/>
      <c r="G21" s="447"/>
      <c r="H21" s="447"/>
      <c r="I21" s="447"/>
      <c r="J21" s="447"/>
      <c r="K21" s="447"/>
      <c r="L21" s="447"/>
      <c r="M21" s="447"/>
      <c r="N21" s="447"/>
      <c r="O21" s="448">
        <f>O22</f>
        <v>45076.722359999992</v>
      </c>
      <c r="P21" s="449">
        <v>20173.5</v>
      </c>
      <c r="Q21" s="449">
        <v>0</v>
      </c>
      <c r="R21" s="450">
        <f>O21-P21-Q21</f>
        <v>24903.222359999992</v>
      </c>
      <c r="T21" s="444"/>
    </row>
    <row r="22" spans="1:20" s="443" customFormat="1" ht="15.6">
      <c r="A22" s="437"/>
      <c r="B22" s="627" t="s">
        <v>320</v>
      </c>
      <c r="C22" s="557">
        <v>0</v>
      </c>
      <c r="D22" s="438">
        <v>15</v>
      </c>
      <c r="E22" s="438">
        <v>0</v>
      </c>
      <c r="F22" s="433">
        <v>1217.0999999999999</v>
      </c>
      <c r="G22" s="433">
        <v>1979.2322999999999</v>
      </c>
      <c r="H22" s="445">
        <v>5816.5684000000001</v>
      </c>
      <c r="I22" s="433">
        <v>104141.8</v>
      </c>
      <c r="J22" s="433">
        <v>84014.182400000005</v>
      </c>
      <c r="K22" s="445">
        <v>112355.5</v>
      </c>
      <c r="L22" s="433">
        <v>0</v>
      </c>
      <c r="M22" s="433">
        <v>0</v>
      </c>
      <c r="N22" s="445">
        <v>0</v>
      </c>
      <c r="O22" s="440">
        <f>SUM(F22:H22)*C22/100+SUM(I22:K22)*D22/100+SUM(L22:N22)*E22/100</f>
        <v>45076.722359999992</v>
      </c>
      <c r="P22" s="441"/>
      <c r="Q22" s="441"/>
      <c r="R22" s="442"/>
      <c r="T22" s="444"/>
    </row>
    <row r="23" spans="1:20" s="443" customFormat="1" ht="15">
      <c r="A23" s="437">
        <v>5</v>
      </c>
      <c r="B23" s="629" t="s">
        <v>240</v>
      </c>
      <c r="C23" s="558"/>
      <c r="D23" s="446"/>
      <c r="E23" s="446"/>
      <c r="F23" s="447"/>
      <c r="G23" s="447"/>
      <c r="H23" s="447"/>
      <c r="I23" s="447"/>
      <c r="J23" s="447"/>
      <c r="K23" s="447"/>
      <c r="L23" s="447"/>
      <c r="M23" s="447"/>
      <c r="N23" s="447"/>
      <c r="O23" s="448">
        <f>O24</f>
        <v>30231.406253999998</v>
      </c>
      <c r="P23" s="449">
        <v>27076</v>
      </c>
      <c r="Q23" s="449">
        <v>0</v>
      </c>
      <c r="R23" s="450">
        <f>O23-P23-Q23</f>
        <v>3155.4062539999977</v>
      </c>
      <c r="T23" s="444"/>
    </row>
    <row r="24" spans="1:20" s="443" customFormat="1" ht="15.6">
      <c r="A24" s="437"/>
      <c r="B24" s="627" t="s">
        <v>320</v>
      </c>
      <c r="C24" s="557">
        <v>2</v>
      </c>
      <c r="D24" s="438">
        <v>10</v>
      </c>
      <c r="E24" s="438">
        <v>0</v>
      </c>
      <c r="F24" s="433">
        <v>1217.0999999999999</v>
      </c>
      <c r="G24" s="433">
        <v>1979.2322999999999</v>
      </c>
      <c r="H24" s="445">
        <v>5816.5684000000001</v>
      </c>
      <c r="I24" s="433">
        <v>104141.8</v>
      </c>
      <c r="J24" s="433">
        <v>84014.182400000005</v>
      </c>
      <c r="K24" s="445">
        <v>112355.5</v>
      </c>
      <c r="L24" s="433">
        <v>0</v>
      </c>
      <c r="M24" s="433">
        <v>0</v>
      </c>
      <c r="N24" s="445">
        <v>0</v>
      </c>
      <c r="O24" s="440">
        <f>SUM(F24:H24)*C24/100+SUM(I24:K24)*D24/100+SUM(L24:N24)*E24/100</f>
        <v>30231.406253999998</v>
      </c>
      <c r="P24" s="441"/>
      <c r="Q24" s="441"/>
      <c r="R24" s="442"/>
      <c r="T24" s="444"/>
    </row>
    <row r="25" spans="1:20" s="443" customFormat="1" ht="15">
      <c r="A25" s="437">
        <v>6</v>
      </c>
      <c r="B25" s="629" t="s">
        <v>241</v>
      </c>
      <c r="C25" s="558"/>
      <c r="D25" s="446"/>
      <c r="E25" s="446"/>
      <c r="F25" s="447"/>
      <c r="G25" s="447"/>
      <c r="H25" s="447"/>
      <c r="I25" s="447"/>
      <c r="J25" s="447"/>
      <c r="K25" s="447"/>
      <c r="L25" s="447"/>
      <c r="M25" s="447"/>
      <c r="N25" s="447"/>
      <c r="O25" s="448">
        <f>O26</f>
        <v>75127.870599999995</v>
      </c>
      <c r="P25" s="449">
        <v>7403.4769999999999</v>
      </c>
      <c r="Q25" s="449">
        <v>47918.2</v>
      </c>
      <c r="R25" s="450">
        <f>O25-P25-Q25</f>
        <v>19806.193599999999</v>
      </c>
      <c r="T25" s="444"/>
    </row>
    <row r="26" spans="1:20" s="443" customFormat="1" ht="15.6">
      <c r="A26" s="437"/>
      <c r="B26" s="627" t="s">
        <v>320</v>
      </c>
      <c r="C26" s="557">
        <v>0</v>
      </c>
      <c r="D26" s="438">
        <v>25</v>
      </c>
      <c r="E26" s="438">
        <v>0</v>
      </c>
      <c r="F26" s="433">
        <v>1217.0999999999999</v>
      </c>
      <c r="G26" s="433">
        <v>1979.2322999999999</v>
      </c>
      <c r="H26" s="445">
        <v>5816.5684000000001</v>
      </c>
      <c r="I26" s="433">
        <v>104141.8</v>
      </c>
      <c r="J26" s="433">
        <v>84014.182400000005</v>
      </c>
      <c r="K26" s="445">
        <v>112355.5</v>
      </c>
      <c r="L26" s="433">
        <v>0</v>
      </c>
      <c r="M26" s="433">
        <v>0</v>
      </c>
      <c r="N26" s="445">
        <v>0</v>
      </c>
      <c r="O26" s="440">
        <f>SUM(F26:H26)*C26/100+SUM(I26:K26)*D26/100+SUM(L26:N26)*E26/100</f>
        <v>75127.870599999995</v>
      </c>
      <c r="P26" s="441"/>
      <c r="Q26" s="441"/>
      <c r="R26" s="442"/>
      <c r="T26" s="444"/>
    </row>
    <row r="27" spans="1:20" s="443" customFormat="1" ht="15">
      <c r="A27" s="437">
        <v>7</v>
      </c>
      <c r="B27" s="629" t="s">
        <v>294</v>
      </c>
      <c r="C27" s="558"/>
      <c r="D27" s="446"/>
      <c r="E27" s="446"/>
      <c r="F27" s="447"/>
      <c r="G27" s="447"/>
      <c r="H27" s="447"/>
      <c r="I27" s="447"/>
      <c r="J27" s="447"/>
      <c r="K27" s="447"/>
      <c r="L27" s="447"/>
      <c r="M27" s="447"/>
      <c r="N27" s="447"/>
      <c r="O27" s="448">
        <f>O28</f>
        <v>30051.148239999999</v>
      </c>
      <c r="P27" s="449">
        <v>0</v>
      </c>
      <c r="Q27" s="449">
        <v>0</v>
      </c>
      <c r="R27" s="450">
        <f>O27-P27-Q27</f>
        <v>30051.148239999999</v>
      </c>
      <c r="T27" s="444"/>
    </row>
    <row r="28" spans="1:20" s="443" customFormat="1" ht="15.6">
      <c r="A28" s="437"/>
      <c r="B28" s="627" t="s">
        <v>320</v>
      </c>
      <c r="C28" s="557">
        <v>0</v>
      </c>
      <c r="D28" s="438">
        <v>10</v>
      </c>
      <c r="E28" s="438">
        <v>0</v>
      </c>
      <c r="F28" s="433">
        <v>1217.0999999999999</v>
      </c>
      <c r="G28" s="433">
        <v>1979.2322999999999</v>
      </c>
      <c r="H28" s="445">
        <v>5816.5684000000001</v>
      </c>
      <c r="I28" s="433">
        <v>104141.8</v>
      </c>
      <c r="J28" s="433">
        <v>84014.182400000005</v>
      </c>
      <c r="K28" s="445">
        <v>112355.5</v>
      </c>
      <c r="L28" s="433">
        <v>0</v>
      </c>
      <c r="M28" s="433">
        <v>0</v>
      </c>
      <c r="N28" s="445">
        <v>0</v>
      </c>
      <c r="O28" s="440">
        <f>SUM(F28:H28)*C28/100+SUM(I28:K28)*D28/100+SUM(L28:N28)*E28/100</f>
        <v>30051.148239999999</v>
      </c>
      <c r="P28" s="441"/>
      <c r="Q28" s="441"/>
      <c r="R28" s="442"/>
      <c r="T28" s="444"/>
    </row>
    <row r="29" spans="1:20" s="443" customFormat="1" ht="15">
      <c r="A29" s="437">
        <v>8</v>
      </c>
      <c r="B29" s="629" t="s">
        <v>242</v>
      </c>
      <c r="C29" s="558"/>
      <c r="D29" s="446"/>
      <c r="E29" s="446"/>
      <c r="F29" s="447"/>
      <c r="G29" s="447"/>
      <c r="H29" s="447"/>
      <c r="I29" s="447"/>
      <c r="J29" s="447"/>
      <c r="K29" s="447"/>
      <c r="L29" s="447"/>
      <c r="M29" s="447"/>
      <c r="N29" s="447"/>
      <c r="O29" s="448">
        <f>O30</f>
        <v>0</v>
      </c>
      <c r="P29" s="449">
        <v>0</v>
      </c>
      <c r="Q29" s="449">
        <v>0</v>
      </c>
      <c r="R29" s="450">
        <f>O29-P29-Q29</f>
        <v>0</v>
      </c>
      <c r="T29" s="444"/>
    </row>
    <row r="30" spans="1:20" s="443" customFormat="1" ht="26.4">
      <c r="A30" s="437"/>
      <c r="B30" s="628" t="s">
        <v>321</v>
      </c>
      <c r="C30" s="601">
        <v>0</v>
      </c>
      <c r="D30" s="602">
        <v>0</v>
      </c>
      <c r="E30" s="602">
        <v>30</v>
      </c>
      <c r="F30" s="603">
        <v>1497.8</v>
      </c>
      <c r="G30" s="603">
        <v>3744.2750000000001</v>
      </c>
      <c r="H30" s="604">
        <v>2995.3</v>
      </c>
      <c r="I30" s="603">
        <v>14</v>
      </c>
      <c r="J30" s="603">
        <v>35.393999999999998</v>
      </c>
      <c r="K30" s="604">
        <v>30.1</v>
      </c>
      <c r="L30" s="603">
        <v>0</v>
      </c>
      <c r="M30" s="603">
        <v>0</v>
      </c>
      <c r="N30" s="604">
        <v>0</v>
      </c>
      <c r="O30" s="605">
        <f>SUM(F30:H30)*C30/100+SUM(I30:K30)*D30/100+SUM(L30:N30)*E30/100</f>
        <v>0</v>
      </c>
      <c r="P30" s="441"/>
      <c r="Q30" s="441"/>
      <c r="R30" s="442"/>
      <c r="T30" s="444"/>
    </row>
    <row r="31" spans="1:20" s="443" customFormat="1" ht="15">
      <c r="A31" s="437">
        <v>9</v>
      </c>
      <c r="B31" s="629" t="s">
        <v>243</v>
      </c>
      <c r="C31" s="558"/>
      <c r="D31" s="446"/>
      <c r="E31" s="446"/>
      <c r="F31" s="447"/>
      <c r="G31" s="447"/>
      <c r="H31" s="447"/>
      <c r="I31" s="447"/>
      <c r="J31" s="447"/>
      <c r="K31" s="447"/>
      <c r="L31" s="447"/>
      <c r="M31" s="447"/>
      <c r="N31" s="447"/>
      <c r="O31" s="448">
        <f>O32+O33</f>
        <v>682.25577099999998</v>
      </c>
      <c r="P31" s="449">
        <v>0</v>
      </c>
      <c r="Q31" s="449">
        <v>0</v>
      </c>
      <c r="R31" s="450">
        <f>O31-P31-Q31</f>
        <v>682.25577099999998</v>
      </c>
      <c r="T31" s="444"/>
    </row>
    <row r="32" spans="1:20" s="443" customFormat="1" ht="15.6">
      <c r="A32" s="437"/>
      <c r="B32" s="627" t="s">
        <v>320</v>
      </c>
      <c r="C32" s="557">
        <v>3</v>
      </c>
      <c r="D32" s="438">
        <v>0</v>
      </c>
      <c r="E32" s="438">
        <v>30</v>
      </c>
      <c r="F32" s="433">
        <v>1217.0999999999999</v>
      </c>
      <c r="G32" s="433">
        <v>1979.2322999999999</v>
      </c>
      <c r="H32" s="445">
        <v>5816.5684000000001</v>
      </c>
      <c r="I32" s="433">
        <v>104141.8</v>
      </c>
      <c r="J32" s="433">
        <v>84014.182400000005</v>
      </c>
      <c r="K32" s="439">
        <v>112355.49</v>
      </c>
      <c r="L32" s="433">
        <v>0</v>
      </c>
      <c r="M32" s="433">
        <v>0</v>
      </c>
      <c r="N32" s="445">
        <v>0</v>
      </c>
      <c r="O32" s="440">
        <f>SUM(F32:H32)*C32/100+SUM(I32:K32)*D32/100+SUM(L32:N32)*E32/100</f>
        <v>270.387021</v>
      </c>
      <c r="P32" s="441"/>
      <c r="Q32" s="441"/>
      <c r="R32" s="442"/>
      <c r="T32" s="444"/>
    </row>
    <row r="33" spans="1:25" s="443" customFormat="1" ht="26.4">
      <c r="A33" s="437"/>
      <c r="B33" s="628" t="s">
        <v>321</v>
      </c>
      <c r="C33" s="601">
        <v>5</v>
      </c>
      <c r="D33" s="602">
        <v>0</v>
      </c>
      <c r="E33" s="602">
        <v>0</v>
      </c>
      <c r="F33" s="603">
        <v>1497.8</v>
      </c>
      <c r="G33" s="603">
        <v>3744.2750000000001</v>
      </c>
      <c r="H33" s="604">
        <v>2995.3</v>
      </c>
      <c r="I33" s="603">
        <v>14</v>
      </c>
      <c r="J33" s="603">
        <v>35.393999999999998</v>
      </c>
      <c r="K33" s="604">
        <v>30.146000000000001</v>
      </c>
      <c r="L33" s="603">
        <v>0</v>
      </c>
      <c r="M33" s="603">
        <v>0</v>
      </c>
      <c r="N33" s="604">
        <v>0</v>
      </c>
      <c r="O33" s="605">
        <f>SUM(F33:H33)*C33/100+SUM(I33:K33)*D33/100+SUM(L33:N33)*E33/100</f>
        <v>411.86874999999998</v>
      </c>
      <c r="P33" s="441"/>
      <c r="Q33" s="441"/>
      <c r="R33" s="442"/>
      <c r="T33" s="444"/>
    </row>
    <row r="34" spans="1:25" s="455" customFormat="1" ht="15">
      <c r="A34" s="451"/>
      <c r="B34" s="630" t="s">
        <v>295</v>
      </c>
      <c r="C34" s="555"/>
      <c r="D34" s="407"/>
      <c r="E34" s="407"/>
      <c r="F34" s="452"/>
      <c r="G34" s="452"/>
      <c r="H34" s="447"/>
      <c r="I34" s="452"/>
      <c r="J34" s="452"/>
      <c r="K34" s="453"/>
      <c r="L34" s="452"/>
      <c r="M34" s="452"/>
      <c r="N34" s="453"/>
      <c r="O34" s="454">
        <f>SUM(O35:O36)</f>
        <v>1192.008785</v>
      </c>
      <c r="P34" s="430">
        <v>0</v>
      </c>
      <c r="Q34" s="430">
        <v>0</v>
      </c>
      <c r="R34" s="431">
        <f>O34-P34-Q34</f>
        <v>1192.008785</v>
      </c>
      <c r="S34" s="412"/>
      <c r="T34" s="413"/>
      <c r="U34" s="412"/>
      <c r="V34" s="412"/>
      <c r="W34" s="412"/>
      <c r="X34" s="412"/>
      <c r="Y34" s="412"/>
    </row>
    <row r="35" spans="1:25" ht="15.6">
      <c r="B35" s="627" t="s">
        <v>320</v>
      </c>
      <c r="C35" s="556">
        <v>5</v>
      </c>
      <c r="D35" s="432">
        <v>0</v>
      </c>
      <c r="E35" s="432">
        <v>0</v>
      </c>
      <c r="F35" s="433">
        <v>1217.0999999999999</v>
      </c>
      <c r="G35" s="433">
        <v>1979.2322999999999</v>
      </c>
      <c r="H35" s="445">
        <v>5816.5684000000001</v>
      </c>
      <c r="I35" s="433">
        <v>104141.8</v>
      </c>
      <c r="J35" s="433">
        <v>84014.182400000005</v>
      </c>
      <c r="K35" s="439">
        <v>112355.49</v>
      </c>
      <c r="L35" s="433">
        <v>0</v>
      </c>
      <c r="M35" s="433">
        <v>0</v>
      </c>
      <c r="N35" s="445">
        <v>0</v>
      </c>
      <c r="O35" s="435">
        <f>SUM(F35:H35)*C35/100+SUM(I35:K35)*D35/100+SUM(L35:N35)*E35/100</f>
        <v>450.64503500000001</v>
      </c>
      <c r="P35" s="419"/>
      <c r="Q35" s="419"/>
      <c r="R35" s="420"/>
      <c r="S35" s="412"/>
      <c r="T35" s="413"/>
      <c r="U35" s="412"/>
      <c r="V35" s="412"/>
      <c r="W35" s="412"/>
      <c r="X35" s="412"/>
      <c r="Y35" s="412"/>
    </row>
    <row r="36" spans="1:25" ht="26.4">
      <c r="B36" s="628" t="s">
        <v>321</v>
      </c>
      <c r="C36" s="601">
        <v>9</v>
      </c>
      <c r="D36" s="602">
        <v>0</v>
      </c>
      <c r="E36" s="602">
        <v>0</v>
      </c>
      <c r="F36" s="603">
        <v>1497.8</v>
      </c>
      <c r="G36" s="603">
        <v>3744.2750000000001</v>
      </c>
      <c r="H36" s="604">
        <v>2995.3</v>
      </c>
      <c r="I36" s="603">
        <v>14</v>
      </c>
      <c r="J36" s="603">
        <v>35.393999999999998</v>
      </c>
      <c r="K36" s="604">
        <v>30.146000000000001</v>
      </c>
      <c r="L36" s="603">
        <v>0</v>
      </c>
      <c r="M36" s="603">
        <v>0</v>
      </c>
      <c r="N36" s="604">
        <v>0</v>
      </c>
      <c r="O36" s="605">
        <f>SUM(F36:H36)*C36/100+SUM(I36:K36)*D36/100+SUM(L36:N36)*E36/100</f>
        <v>741.36374999999998</v>
      </c>
      <c r="P36" s="419"/>
      <c r="Q36" s="419"/>
      <c r="R36" s="420"/>
      <c r="S36" s="412"/>
      <c r="T36" s="413"/>
      <c r="U36" s="412"/>
      <c r="V36" s="412"/>
      <c r="W36" s="412"/>
      <c r="X36" s="412"/>
      <c r="Y36" s="412"/>
    </row>
    <row r="37" spans="1:25" s="464" customFormat="1" ht="15.6">
      <c r="A37" s="456"/>
      <c r="B37" s="630" t="s">
        <v>296</v>
      </c>
      <c r="C37" s="559"/>
      <c r="D37" s="457"/>
      <c r="E37" s="457"/>
      <c r="F37" s="458"/>
      <c r="G37" s="458"/>
      <c r="H37" s="459"/>
      <c r="I37" s="458"/>
      <c r="J37" s="458"/>
      <c r="K37" s="460"/>
      <c r="L37" s="458"/>
      <c r="M37" s="458"/>
      <c r="N37" s="460"/>
      <c r="O37" s="461">
        <f>SUM(O38)</f>
        <v>90.129007000000001</v>
      </c>
      <c r="P37" s="430">
        <v>0</v>
      </c>
      <c r="Q37" s="430">
        <v>0</v>
      </c>
      <c r="R37" s="431">
        <f>O37-P37-Q37</f>
        <v>90.129007000000001</v>
      </c>
      <c r="S37" s="462"/>
      <c r="T37" s="463"/>
      <c r="U37" s="462"/>
      <c r="V37" s="462"/>
      <c r="W37" s="462"/>
      <c r="X37" s="462"/>
      <c r="Y37" s="462"/>
    </row>
    <row r="38" spans="1:25" ht="15.6">
      <c r="B38" s="627" t="s">
        <v>320</v>
      </c>
      <c r="C38" s="556">
        <v>1</v>
      </c>
      <c r="D38" s="432">
        <v>0</v>
      </c>
      <c r="E38" s="432">
        <v>0</v>
      </c>
      <c r="F38" s="433">
        <v>1217.0999999999999</v>
      </c>
      <c r="G38" s="433">
        <v>1979.2322999999999</v>
      </c>
      <c r="H38" s="445">
        <v>5816.5684000000001</v>
      </c>
      <c r="I38" s="433">
        <v>104141.8</v>
      </c>
      <c r="J38" s="433">
        <v>84014.182400000005</v>
      </c>
      <c r="K38" s="439">
        <v>112355.49</v>
      </c>
      <c r="L38" s="433">
        <v>0</v>
      </c>
      <c r="M38" s="433">
        <v>0</v>
      </c>
      <c r="N38" s="445">
        <v>0</v>
      </c>
      <c r="O38" s="435">
        <f>SUM(F38:H38)*C38/100+SUM(I38:K38)*D38/100+SUM(L38:N38)*E38/100</f>
        <v>90.129007000000001</v>
      </c>
      <c r="P38" s="419"/>
      <c r="Q38" s="419"/>
      <c r="R38" s="420"/>
      <c r="S38" s="412"/>
      <c r="T38" s="413"/>
      <c r="U38" s="412"/>
      <c r="V38" s="412"/>
      <c r="W38" s="412"/>
      <c r="X38" s="412"/>
      <c r="Y38" s="412"/>
    </row>
    <row r="39" spans="1:25" s="464" customFormat="1" ht="15.6">
      <c r="A39" s="456"/>
      <c r="B39" s="630" t="s">
        <v>297</v>
      </c>
      <c r="C39" s="559"/>
      <c r="D39" s="457"/>
      <c r="E39" s="457"/>
      <c r="F39" s="458"/>
      <c r="G39" s="458"/>
      <c r="H39" s="459"/>
      <c r="I39" s="458"/>
      <c r="J39" s="458"/>
      <c r="K39" s="460"/>
      <c r="L39" s="458"/>
      <c r="M39" s="458"/>
      <c r="N39" s="460"/>
      <c r="O39" s="461">
        <f>SUM(O40+O41)</f>
        <v>254.876507</v>
      </c>
      <c r="P39" s="430">
        <v>0</v>
      </c>
      <c r="Q39" s="430">
        <v>0</v>
      </c>
      <c r="R39" s="431">
        <f>O39-P39-Q39</f>
        <v>254.876507</v>
      </c>
      <c r="S39" s="462"/>
      <c r="T39" s="463"/>
      <c r="U39" s="462"/>
      <c r="V39" s="462"/>
      <c r="W39" s="462"/>
      <c r="X39" s="462"/>
      <c r="Y39" s="462"/>
    </row>
    <row r="40" spans="1:25" s="467" customFormat="1" ht="15">
      <c r="A40" s="465"/>
      <c r="B40" s="627" t="s">
        <v>320</v>
      </c>
      <c r="C40" s="556">
        <v>1</v>
      </c>
      <c r="D40" s="432">
        <v>0</v>
      </c>
      <c r="E40" s="432">
        <v>0</v>
      </c>
      <c r="F40" s="433">
        <v>1217.0999999999999</v>
      </c>
      <c r="G40" s="433">
        <v>1979.2322999999999</v>
      </c>
      <c r="H40" s="445">
        <v>5816.5684000000001</v>
      </c>
      <c r="I40" s="433">
        <v>104141.8</v>
      </c>
      <c r="J40" s="433">
        <v>84014.182400000005</v>
      </c>
      <c r="K40" s="439">
        <v>112355.49</v>
      </c>
      <c r="L40" s="433">
        <v>0</v>
      </c>
      <c r="M40" s="433">
        <v>0</v>
      </c>
      <c r="N40" s="445">
        <v>0</v>
      </c>
      <c r="O40" s="435">
        <f>SUM(F40:H40)*C40/100+SUM(I40:K40)*D40/100+SUM(L40:N40)*E40/100</f>
        <v>90.129007000000001</v>
      </c>
      <c r="P40" s="419"/>
      <c r="Q40" s="419"/>
      <c r="R40" s="466"/>
      <c r="S40" s="412"/>
      <c r="T40" s="413"/>
      <c r="U40" s="412"/>
      <c r="V40" s="412"/>
      <c r="W40" s="412"/>
    </row>
    <row r="41" spans="1:25" ht="26.4">
      <c r="A41" s="468"/>
      <c r="B41" s="628" t="s">
        <v>321</v>
      </c>
      <c r="C41" s="601">
        <v>2</v>
      </c>
      <c r="D41" s="602">
        <v>0</v>
      </c>
      <c r="E41" s="602">
        <v>0</v>
      </c>
      <c r="F41" s="603">
        <v>1497.8</v>
      </c>
      <c r="G41" s="603">
        <v>3744.2750000000001</v>
      </c>
      <c r="H41" s="604">
        <v>2995.3</v>
      </c>
      <c r="I41" s="603">
        <v>14</v>
      </c>
      <c r="J41" s="603">
        <v>35.393999999999998</v>
      </c>
      <c r="K41" s="604">
        <v>30.146000000000001</v>
      </c>
      <c r="L41" s="603">
        <v>0</v>
      </c>
      <c r="M41" s="603">
        <v>0</v>
      </c>
      <c r="N41" s="604">
        <v>0</v>
      </c>
      <c r="O41" s="605">
        <f>SUM(F41:H41)*C41/100+SUM(I41:K41)*D41/100+SUM(L41:N41)*E41/100</f>
        <v>164.7475</v>
      </c>
      <c r="P41" s="419"/>
      <c r="Q41" s="419"/>
      <c r="R41" s="469"/>
      <c r="S41" s="412"/>
      <c r="T41" s="413"/>
      <c r="U41" s="412"/>
      <c r="V41" s="412"/>
      <c r="W41" s="412"/>
    </row>
    <row r="42" spans="1:25" s="455" customFormat="1" ht="15">
      <c r="A42" s="470"/>
      <c r="B42" s="630" t="s">
        <v>298</v>
      </c>
      <c r="C42" s="555"/>
      <c r="D42" s="407"/>
      <c r="E42" s="407"/>
      <c r="F42" s="452"/>
      <c r="G42" s="452"/>
      <c r="H42" s="447"/>
      <c r="I42" s="452"/>
      <c r="J42" s="452"/>
      <c r="K42" s="453"/>
      <c r="L42" s="452"/>
      <c r="M42" s="452"/>
      <c r="N42" s="453"/>
      <c r="O42" s="454">
        <f>SUM(O43+O44)</f>
        <v>2129.141063</v>
      </c>
      <c r="P42" s="430">
        <v>0</v>
      </c>
      <c r="Q42" s="430">
        <v>0</v>
      </c>
      <c r="R42" s="431">
        <f>O42-P42-Q42</f>
        <v>2129.141063</v>
      </c>
      <c r="S42" s="412"/>
      <c r="T42" s="413"/>
      <c r="U42" s="412"/>
      <c r="V42" s="412"/>
      <c r="W42" s="412"/>
    </row>
    <row r="43" spans="1:25" ht="15">
      <c r="A43" s="468"/>
      <c r="B43" s="627" t="s">
        <v>320</v>
      </c>
      <c r="C43" s="556">
        <v>9</v>
      </c>
      <c r="D43" s="432">
        <v>0</v>
      </c>
      <c r="E43" s="432">
        <v>0</v>
      </c>
      <c r="F43" s="433">
        <v>1217.0999999999999</v>
      </c>
      <c r="G43" s="433">
        <v>1979.2322999999999</v>
      </c>
      <c r="H43" s="445">
        <v>5816.5684000000001</v>
      </c>
      <c r="I43" s="433">
        <v>104141.8</v>
      </c>
      <c r="J43" s="433">
        <v>84014.182400000005</v>
      </c>
      <c r="K43" s="439">
        <v>112355.49</v>
      </c>
      <c r="L43" s="433">
        <v>0</v>
      </c>
      <c r="M43" s="433">
        <v>0</v>
      </c>
      <c r="N43" s="445">
        <v>0</v>
      </c>
      <c r="O43" s="435">
        <f>SUM(F43:H43)*C43/100+SUM(I43:K43)*D43/100+SUM(L43:N43)*E43/100</f>
        <v>811.16106300000001</v>
      </c>
      <c r="P43" s="419"/>
      <c r="Q43" s="419"/>
      <c r="R43" s="469"/>
      <c r="S43" s="412"/>
      <c r="T43" s="413"/>
      <c r="U43" s="412"/>
      <c r="V43" s="412"/>
      <c r="W43" s="412"/>
    </row>
    <row r="44" spans="1:25" ht="27" thickBot="1">
      <c r="A44" s="468"/>
      <c r="B44" s="628" t="s">
        <v>321</v>
      </c>
      <c r="C44" s="601">
        <v>16</v>
      </c>
      <c r="D44" s="602">
        <v>0</v>
      </c>
      <c r="E44" s="602">
        <v>0</v>
      </c>
      <c r="F44" s="603">
        <v>1497.8</v>
      </c>
      <c r="G44" s="603">
        <v>3744.2750000000001</v>
      </c>
      <c r="H44" s="604">
        <v>2995.3</v>
      </c>
      <c r="I44" s="603">
        <v>14</v>
      </c>
      <c r="J44" s="603">
        <v>35.393999999999998</v>
      </c>
      <c r="K44" s="604">
        <v>30.146000000000001</v>
      </c>
      <c r="L44" s="603">
        <v>0</v>
      </c>
      <c r="M44" s="603">
        <v>0</v>
      </c>
      <c r="N44" s="604">
        <v>0</v>
      </c>
      <c r="O44" s="605">
        <f>SUM(F44:H44)*C44/100+SUM(I44:K44)*D44/100+SUM(L44:N44)*E44/100</f>
        <v>1317.98</v>
      </c>
      <c r="P44" s="419"/>
      <c r="Q44" s="419"/>
      <c r="R44" s="469"/>
      <c r="T44" s="421"/>
    </row>
    <row r="45" spans="1:25" ht="17.399999999999999">
      <c r="B45" s="552" t="s">
        <v>299</v>
      </c>
      <c r="C45" s="560"/>
      <c r="D45" s="471"/>
      <c r="E45" s="471"/>
      <c r="F45" s="472"/>
      <c r="G45" s="472"/>
      <c r="H45" s="472"/>
      <c r="I45" s="472"/>
      <c r="J45" s="472"/>
      <c r="K45" s="472"/>
      <c r="L45" s="472"/>
      <c r="M45" s="472"/>
      <c r="N45" s="472"/>
      <c r="O45" s="473">
        <f>O46+O48+O51+O53+O55+O57+O59+O62+O64+O66+O68+O70+O72+O74</f>
        <v>82226.426000000007</v>
      </c>
      <c r="P45" s="474">
        <f>SUM(P46+P48+P51+P53+P55+P57+P59+P62+P64+P66+P68+P70+P72+P74+P76)</f>
        <v>24319.1</v>
      </c>
      <c r="Q45" s="473">
        <f>Q46+Q48+Q51+Q53+Q55+Q57+Q59+Q62+Q64+Q66+Q68+Q70+Q72+Q74</f>
        <v>33540.899999999994</v>
      </c>
      <c r="R45" s="475">
        <f>R46+R48+R51+R53+R55+R57+R59+R62+R64+R66+R68+R70+R72+R74+R76</f>
        <v>25066.656000000003</v>
      </c>
      <c r="T45" s="421"/>
    </row>
    <row r="46" spans="1:25" ht="15.6">
      <c r="A46" s="401">
        <v>10</v>
      </c>
      <c r="B46" s="622" t="s">
        <v>245</v>
      </c>
      <c r="C46" s="561"/>
      <c r="D46" s="476"/>
      <c r="E46" s="476"/>
      <c r="F46" s="477"/>
      <c r="G46" s="477"/>
      <c r="H46" s="477"/>
      <c r="I46" s="477"/>
      <c r="J46" s="477"/>
      <c r="K46" s="477"/>
      <c r="L46" s="477"/>
      <c r="M46" s="477"/>
      <c r="N46" s="477"/>
      <c r="O46" s="478">
        <f>O47</f>
        <v>28675.5553</v>
      </c>
      <c r="P46" s="479">
        <v>3774.9</v>
      </c>
      <c r="Q46" s="479">
        <v>16500</v>
      </c>
      <c r="R46" s="480">
        <f>O46-P46-Q46</f>
        <v>8400.6552999999985</v>
      </c>
    </row>
    <row r="47" spans="1:25" ht="26.4">
      <c r="B47" s="623" t="s">
        <v>322</v>
      </c>
      <c r="C47" s="597">
        <v>50</v>
      </c>
      <c r="D47" s="598">
        <v>70</v>
      </c>
      <c r="E47" s="598">
        <v>30</v>
      </c>
      <c r="F47" s="599">
        <v>23383.363000000001</v>
      </c>
      <c r="G47" s="599">
        <v>13645.062</v>
      </c>
      <c r="H47" s="599">
        <v>15242.8</v>
      </c>
      <c r="I47" s="599">
        <v>185.06399999999999</v>
      </c>
      <c r="J47" s="599">
        <v>216.84</v>
      </c>
      <c r="K47" s="599">
        <v>225.6</v>
      </c>
      <c r="L47" s="599">
        <v>3400.85</v>
      </c>
      <c r="M47" s="599">
        <v>1713.35</v>
      </c>
      <c r="N47" s="599">
        <v>1888.1</v>
      </c>
      <c r="O47" s="606">
        <f>SUM(F47:H47)*C47/100+SUM(I47:K47)*D47/100+SUM(L47:N47)*E47/100</f>
        <v>28675.5553</v>
      </c>
      <c r="P47" s="481"/>
      <c r="Q47" s="482"/>
      <c r="R47" s="420"/>
      <c r="T47" s="421"/>
    </row>
    <row r="48" spans="1:25" ht="15.6">
      <c r="A48" s="401">
        <v>11</v>
      </c>
      <c r="B48" s="622" t="s">
        <v>246</v>
      </c>
      <c r="C48" s="561"/>
      <c r="D48" s="476"/>
      <c r="E48" s="476"/>
      <c r="F48" s="483"/>
      <c r="G48" s="483"/>
      <c r="H48" s="483"/>
      <c r="I48" s="483"/>
      <c r="J48" s="483"/>
      <c r="K48" s="483"/>
      <c r="L48" s="483"/>
      <c r="M48" s="483"/>
      <c r="N48" s="483"/>
      <c r="O48" s="478">
        <f>O49+O50</f>
        <v>30318.647900000004</v>
      </c>
      <c r="P48" s="479">
        <v>15105.1</v>
      </c>
      <c r="Q48" s="479">
        <v>6338.6</v>
      </c>
      <c r="R48" s="480">
        <f>O48-P48-Q48</f>
        <v>8874.9479000000028</v>
      </c>
      <c r="T48" s="421"/>
    </row>
    <row r="49" spans="1:20" ht="26.4">
      <c r="B49" s="623" t="s">
        <v>322</v>
      </c>
      <c r="C49" s="597">
        <v>30</v>
      </c>
      <c r="D49" s="598">
        <v>0</v>
      </c>
      <c r="E49" s="598">
        <v>0</v>
      </c>
      <c r="F49" s="599">
        <v>23383.363000000001</v>
      </c>
      <c r="G49" s="599">
        <v>13645.062</v>
      </c>
      <c r="H49" s="599">
        <v>15242.8</v>
      </c>
      <c r="I49" s="599">
        <v>185.06399999999999</v>
      </c>
      <c r="J49" s="599">
        <v>216.84</v>
      </c>
      <c r="K49" s="599">
        <v>225.6</v>
      </c>
      <c r="L49" s="599">
        <v>3400.85</v>
      </c>
      <c r="M49" s="599">
        <v>1713.35</v>
      </c>
      <c r="N49" s="599">
        <v>1888.1</v>
      </c>
      <c r="O49" s="606">
        <f>SUM(F49:H49)*C49/100+SUM(I49:K49)*D49/100+SUM(L49:N49)*E49/100</f>
        <v>15681.367500000002</v>
      </c>
      <c r="P49" s="484"/>
      <c r="Q49" s="424"/>
      <c r="R49" s="420"/>
      <c r="T49" s="421"/>
    </row>
    <row r="50" spans="1:20" ht="15.6">
      <c r="B50" s="623" t="s">
        <v>323</v>
      </c>
      <c r="C50" s="597">
        <v>90</v>
      </c>
      <c r="D50" s="598">
        <v>80</v>
      </c>
      <c r="E50" s="598">
        <v>50</v>
      </c>
      <c r="F50" s="599">
        <v>3021.3510000000001</v>
      </c>
      <c r="G50" s="599">
        <v>6209.9530000000004</v>
      </c>
      <c r="H50" s="599">
        <v>6651.1580000000004</v>
      </c>
      <c r="I50" s="599">
        <v>81.521000000000001</v>
      </c>
      <c r="J50" s="599">
        <v>72.31</v>
      </c>
      <c r="K50" s="599">
        <v>77.230999999999995</v>
      </c>
      <c r="L50" s="599">
        <v>32.15</v>
      </c>
      <c r="M50" s="599">
        <v>256.38299999999998</v>
      </c>
      <c r="N50" s="599">
        <v>27.896999999999998</v>
      </c>
      <c r="O50" s="606">
        <f>SUM(F50:H50)*C50/100+SUM(I50:K50)*D50/100+SUM(L50:N50)*E50/100</f>
        <v>14637.2804</v>
      </c>
      <c r="P50" s="424"/>
      <c r="Q50" s="424"/>
      <c r="R50" s="420"/>
      <c r="T50" s="421"/>
    </row>
    <row r="51" spans="1:20" ht="15.6">
      <c r="A51" s="401">
        <v>12</v>
      </c>
      <c r="B51" s="622" t="s">
        <v>247</v>
      </c>
      <c r="C51" s="561"/>
      <c r="D51" s="476"/>
      <c r="E51" s="476"/>
      <c r="F51" s="483"/>
      <c r="G51" s="483"/>
      <c r="H51" s="483"/>
      <c r="I51" s="483"/>
      <c r="J51" s="483"/>
      <c r="K51" s="483"/>
      <c r="L51" s="483"/>
      <c r="M51" s="483"/>
      <c r="N51" s="483"/>
      <c r="O51" s="478">
        <f>O52</f>
        <v>6627.5825000000004</v>
      </c>
      <c r="P51" s="479">
        <v>5439.0999999999995</v>
      </c>
      <c r="Q51" s="479">
        <v>0</v>
      </c>
      <c r="R51" s="480">
        <f>O51-P51-Q51</f>
        <v>1188.482500000001</v>
      </c>
      <c r="T51" s="421"/>
    </row>
    <row r="52" spans="1:20" ht="26.4">
      <c r="B52" s="623" t="s">
        <v>322</v>
      </c>
      <c r="C52" s="597">
        <v>10</v>
      </c>
      <c r="D52" s="598">
        <v>0</v>
      </c>
      <c r="E52" s="598">
        <v>20</v>
      </c>
      <c r="F52" s="599">
        <v>23383.363000000001</v>
      </c>
      <c r="G52" s="599">
        <v>13645.062</v>
      </c>
      <c r="H52" s="599">
        <v>15242.8</v>
      </c>
      <c r="I52" s="599">
        <v>185.06399999999999</v>
      </c>
      <c r="J52" s="599">
        <v>216.84</v>
      </c>
      <c r="K52" s="599">
        <v>225.6</v>
      </c>
      <c r="L52" s="599">
        <v>3400.85</v>
      </c>
      <c r="M52" s="599">
        <v>1713.35</v>
      </c>
      <c r="N52" s="599">
        <v>1888.1</v>
      </c>
      <c r="O52" s="606">
        <f>SUM(F52:H52)*C52/100+SUM(I52:K52)*D52/100+SUM(L52:N52)*E52/100</f>
        <v>6627.5825000000004</v>
      </c>
      <c r="P52" s="424"/>
      <c r="Q52" s="424"/>
      <c r="R52" s="420"/>
      <c r="T52" s="421"/>
    </row>
    <row r="53" spans="1:20" ht="15.6">
      <c r="A53" s="401">
        <v>13</v>
      </c>
      <c r="B53" s="622" t="s">
        <v>248</v>
      </c>
      <c r="C53" s="561"/>
      <c r="D53" s="476"/>
      <c r="E53" s="476"/>
      <c r="F53" s="483"/>
      <c r="G53" s="483"/>
      <c r="H53" s="483"/>
      <c r="I53" s="483"/>
      <c r="J53" s="483"/>
      <c r="K53" s="483"/>
      <c r="L53" s="483"/>
      <c r="M53" s="483"/>
      <c r="N53" s="483"/>
      <c r="O53" s="478">
        <f>O54</f>
        <v>5289.8729000000003</v>
      </c>
      <c r="P53" s="479">
        <v>0</v>
      </c>
      <c r="Q53" s="479">
        <v>5972.8</v>
      </c>
      <c r="R53" s="480">
        <f>O53-P53-Q53</f>
        <v>-682.92709999999988</v>
      </c>
      <c r="T53" s="421"/>
    </row>
    <row r="54" spans="1:20" ht="26.4">
      <c r="B54" s="623" t="s">
        <v>322</v>
      </c>
      <c r="C54" s="597">
        <v>10</v>
      </c>
      <c r="D54" s="598">
        <v>10</v>
      </c>
      <c r="E54" s="598">
        <v>0</v>
      </c>
      <c r="F54" s="599">
        <v>23383.363000000001</v>
      </c>
      <c r="G54" s="599">
        <v>13645.062</v>
      </c>
      <c r="H54" s="599">
        <v>15242.8</v>
      </c>
      <c r="I54" s="599">
        <v>185.06399999999999</v>
      </c>
      <c r="J54" s="599">
        <v>216.84</v>
      </c>
      <c r="K54" s="599">
        <v>225.6</v>
      </c>
      <c r="L54" s="599">
        <v>3400.85</v>
      </c>
      <c r="M54" s="599">
        <v>1713.35</v>
      </c>
      <c r="N54" s="599">
        <v>1888.1</v>
      </c>
      <c r="O54" s="600">
        <f>SUM(F54:H54)*C54/100+SUM(I54:K54)*D54/100+SUM(L54:N54)*E54/100</f>
        <v>5289.8729000000003</v>
      </c>
      <c r="P54" s="424"/>
      <c r="Q54" s="424"/>
      <c r="R54" s="420"/>
      <c r="T54" s="421"/>
    </row>
    <row r="55" spans="1:20" ht="15.6">
      <c r="A55" s="401">
        <v>14</v>
      </c>
      <c r="B55" s="622" t="s">
        <v>249</v>
      </c>
      <c r="C55" s="561"/>
      <c r="D55" s="476"/>
      <c r="E55" s="476"/>
      <c r="F55" s="483"/>
      <c r="G55" s="483"/>
      <c r="H55" s="483"/>
      <c r="I55" s="483"/>
      <c r="J55" s="483"/>
      <c r="K55" s="483"/>
      <c r="L55" s="483"/>
      <c r="M55" s="483"/>
      <c r="N55" s="483"/>
      <c r="O55" s="478">
        <f>O56</f>
        <v>4376.2987999999996</v>
      </c>
      <c r="P55" s="479">
        <v>0</v>
      </c>
      <c r="Q55" s="479">
        <v>3340.3</v>
      </c>
      <c r="R55" s="480">
        <f>O55-P55-Q55</f>
        <v>1035.9987999999994</v>
      </c>
      <c r="T55" s="421"/>
    </row>
    <row r="56" spans="1:20" ht="26.4">
      <c r="B56" s="623" t="s">
        <v>281</v>
      </c>
      <c r="C56" s="597">
        <v>70</v>
      </c>
      <c r="D56" s="598">
        <v>40</v>
      </c>
      <c r="E56" s="598">
        <v>50</v>
      </c>
      <c r="F56" s="599">
        <v>1230.6420000000001</v>
      </c>
      <c r="G56" s="599">
        <v>3202.79</v>
      </c>
      <c r="H56" s="599">
        <v>1360</v>
      </c>
      <c r="I56" s="599">
        <v>160.05199999999999</v>
      </c>
      <c r="J56" s="599">
        <v>432.18900000000002</v>
      </c>
      <c r="K56" s="599">
        <v>210</v>
      </c>
      <c r="L56" s="599">
        <v>0</v>
      </c>
      <c r="M56" s="599">
        <v>0</v>
      </c>
      <c r="N56" s="599">
        <v>0</v>
      </c>
      <c r="O56" s="600">
        <f>SUM(F56:H56)*C56/100+SUM(I56:K56)*D56/100+SUM(L56:N56)*E56/100</f>
        <v>4376.2987999999996</v>
      </c>
      <c r="P56" s="424"/>
      <c r="Q56" s="424"/>
      <c r="R56" s="420"/>
      <c r="T56" s="421"/>
    </row>
    <row r="57" spans="1:20" ht="15.6">
      <c r="A57" s="401">
        <v>15</v>
      </c>
      <c r="B57" s="622" t="s">
        <v>250</v>
      </c>
      <c r="C57" s="561"/>
      <c r="D57" s="476"/>
      <c r="E57" s="476"/>
      <c r="F57" s="483"/>
      <c r="G57" s="483"/>
      <c r="H57" s="483"/>
      <c r="I57" s="483"/>
      <c r="J57" s="483"/>
      <c r="K57" s="483"/>
      <c r="L57" s="483"/>
      <c r="M57" s="483"/>
      <c r="N57" s="483"/>
      <c r="O57" s="478">
        <f>O58</f>
        <v>1898.4777999999999</v>
      </c>
      <c r="P57" s="479">
        <v>0</v>
      </c>
      <c r="Q57" s="479">
        <v>1389.2</v>
      </c>
      <c r="R57" s="480">
        <f>O57-P57-Q57</f>
        <v>509.27779999999984</v>
      </c>
      <c r="T57" s="421"/>
    </row>
    <row r="58" spans="1:20" ht="26.4">
      <c r="B58" s="623" t="s">
        <v>281</v>
      </c>
      <c r="C58" s="597">
        <v>30</v>
      </c>
      <c r="D58" s="598">
        <v>20</v>
      </c>
      <c r="E58" s="598">
        <v>50</v>
      </c>
      <c r="F58" s="599">
        <v>1230.6420000000001</v>
      </c>
      <c r="G58" s="599">
        <v>3202.79</v>
      </c>
      <c r="H58" s="599">
        <v>1360</v>
      </c>
      <c r="I58" s="599">
        <v>160.05199999999999</v>
      </c>
      <c r="J58" s="599">
        <v>432.18900000000002</v>
      </c>
      <c r="K58" s="599">
        <v>210</v>
      </c>
      <c r="L58" s="599">
        <v>0</v>
      </c>
      <c r="M58" s="599">
        <v>0</v>
      </c>
      <c r="N58" s="599">
        <v>0</v>
      </c>
      <c r="O58" s="600">
        <f>SUM(F58:H58)*C58/100+SUM(I58:K58)*D58/100+SUM(L58:N58)*E58/100</f>
        <v>1898.4777999999999</v>
      </c>
      <c r="P58" s="424"/>
      <c r="Q58" s="424"/>
      <c r="R58" s="420"/>
      <c r="T58" s="421"/>
    </row>
    <row r="59" spans="1:20" ht="15.6">
      <c r="A59" s="401">
        <v>16</v>
      </c>
      <c r="B59" s="622" t="s">
        <v>251</v>
      </c>
      <c r="C59" s="561"/>
      <c r="D59" s="476"/>
      <c r="E59" s="476"/>
      <c r="F59" s="483"/>
      <c r="G59" s="483"/>
      <c r="H59" s="483"/>
      <c r="I59" s="483"/>
      <c r="J59" s="483"/>
      <c r="K59" s="483"/>
      <c r="L59" s="483"/>
      <c r="M59" s="483"/>
      <c r="N59" s="483"/>
      <c r="O59" s="478">
        <f>O60+O61</f>
        <v>2334.6886</v>
      </c>
      <c r="P59" s="479">
        <v>0</v>
      </c>
      <c r="Q59" s="479">
        <v>0</v>
      </c>
      <c r="R59" s="480">
        <f>O59-P59-Q59</f>
        <v>2334.6886</v>
      </c>
      <c r="T59" s="421"/>
    </row>
    <row r="60" spans="1:20" ht="26.4">
      <c r="B60" s="623" t="s">
        <v>322</v>
      </c>
      <c r="C60" s="597">
        <v>0</v>
      </c>
      <c r="D60" s="598">
        <v>0</v>
      </c>
      <c r="E60" s="598">
        <v>10</v>
      </c>
      <c r="F60" s="599">
        <v>23383.363000000001</v>
      </c>
      <c r="G60" s="599">
        <v>13645.062</v>
      </c>
      <c r="H60" s="599">
        <v>15242.8</v>
      </c>
      <c r="I60" s="599">
        <v>185.06399999999999</v>
      </c>
      <c r="J60" s="599">
        <v>216.84</v>
      </c>
      <c r="K60" s="599">
        <v>225.6</v>
      </c>
      <c r="L60" s="599">
        <v>3400.85</v>
      </c>
      <c r="M60" s="599">
        <v>1713.35</v>
      </c>
      <c r="N60" s="599">
        <v>1888.1</v>
      </c>
      <c r="O60" s="600">
        <f>SUM(F60:H60)*C60/100+SUM(I60:K60)*D60/100+SUM(L60:N60)*E60/100</f>
        <v>700.23</v>
      </c>
      <c r="P60" s="424"/>
      <c r="Q60" s="424"/>
      <c r="R60" s="485"/>
      <c r="T60" s="421"/>
    </row>
    <row r="61" spans="1:20" ht="15.6">
      <c r="B61" s="623" t="s">
        <v>323</v>
      </c>
      <c r="C61" s="597">
        <v>10</v>
      </c>
      <c r="D61" s="598">
        <v>20</v>
      </c>
      <c r="E61" s="598">
        <v>0</v>
      </c>
      <c r="F61" s="599">
        <v>3021.3510000000001</v>
      </c>
      <c r="G61" s="599">
        <v>6209.9530000000004</v>
      </c>
      <c r="H61" s="599">
        <v>6651.1580000000004</v>
      </c>
      <c r="I61" s="599">
        <v>81.521000000000001</v>
      </c>
      <c r="J61" s="599">
        <v>72.31</v>
      </c>
      <c r="K61" s="599">
        <v>77.230999999999995</v>
      </c>
      <c r="L61" s="599">
        <v>32.15</v>
      </c>
      <c r="M61" s="599">
        <v>256.38299999999998</v>
      </c>
      <c r="N61" s="599">
        <v>27.896999999999998</v>
      </c>
      <c r="O61" s="600">
        <f>SUM(F61:H61)*C61/100+SUM(I61:K61)*D61/100+SUM(L61:N61)*E61/100</f>
        <v>1634.4585999999999</v>
      </c>
      <c r="P61" s="424"/>
      <c r="Q61" s="424"/>
      <c r="R61" s="420"/>
      <c r="T61" s="421"/>
    </row>
    <row r="62" spans="1:20" ht="15.6">
      <c r="A62" s="401">
        <v>17</v>
      </c>
      <c r="B62" s="624" t="s">
        <v>245</v>
      </c>
      <c r="C62" s="562"/>
      <c r="D62" s="486"/>
      <c r="E62" s="486"/>
      <c r="F62" s="487"/>
      <c r="G62" s="487"/>
      <c r="H62" s="483"/>
      <c r="I62" s="483"/>
      <c r="J62" s="483"/>
      <c r="K62" s="483"/>
      <c r="L62" s="483"/>
      <c r="M62" s="483"/>
      <c r="N62" s="483"/>
      <c r="O62" s="478">
        <f>O63</f>
        <v>125.5008</v>
      </c>
      <c r="P62" s="479">
        <v>0</v>
      </c>
      <c r="Q62" s="479">
        <v>0</v>
      </c>
      <c r="R62" s="480">
        <f>O62-P62-Q62</f>
        <v>125.5008</v>
      </c>
      <c r="T62" s="421"/>
    </row>
    <row r="63" spans="1:20" ht="26.4">
      <c r="B63" s="623" t="s">
        <v>322</v>
      </c>
      <c r="C63" s="597">
        <v>0</v>
      </c>
      <c r="D63" s="598">
        <v>20</v>
      </c>
      <c r="E63" s="598">
        <v>0</v>
      </c>
      <c r="F63" s="599">
        <v>23383.363000000001</v>
      </c>
      <c r="G63" s="599">
        <v>13645.062</v>
      </c>
      <c r="H63" s="599">
        <v>15242.8</v>
      </c>
      <c r="I63" s="599">
        <v>185.06399999999999</v>
      </c>
      <c r="J63" s="599">
        <v>216.84</v>
      </c>
      <c r="K63" s="599">
        <v>225.6</v>
      </c>
      <c r="L63" s="599">
        <v>3400.85</v>
      </c>
      <c r="M63" s="599">
        <v>1713.35</v>
      </c>
      <c r="N63" s="599">
        <v>1888.1</v>
      </c>
      <c r="O63" s="600">
        <f>SUM(F63:H63)*C63/100+SUM(I63:K63)*D63/100+SUM(L63:N63)*E63/100</f>
        <v>125.5008</v>
      </c>
      <c r="P63" s="424"/>
      <c r="Q63" s="424"/>
      <c r="R63" s="420"/>
      <c r="T63" s="421"/>
    </row>
    <row r="64" spans="1:20" ht="15.6">
      <c r="A64" s="401">
        <v>18</v>
      </c>
      <c r="B64" s="622" t="s">
        <v>252</v>
      </c>
      <c r="C64" s="561"/>
      <c r="D64" s="476"/>
      <c r="E64" s="476"/>
      <c r="F64" s="483"/>
      <c r="G64" s="483"/>
      <c r="H64" s="483"/>
      <c r="I64" s="483"/>
      <c r="J64" s="483"/>
      <c r="K64" s="483"/>
      <c r="L64" s="483"/>
      <c r="M64" s="483"/>
      <c r="N64" s="483"/>
      <c r="O64" s="478">
        <f>O65</f>
        <v>160.44819999999999</v>
      </c>
      <c r="P64" s="479">
        <v>0</v>
      </c>
      <c r="Q64" s="479">
        <v>0</v>
      </c>
      <c r="R64" s="480">
        <f>O64-P64-Q64</f>
        <v>160.44819999999999</v>
      </c>
      <c r="T64" s="421"/>
    </row>
    <row r="65" spans="1:20" ht="26.4">
      <c r="B65" s="623" t="s">
        <v>281</v>
      </c>
      <c r="C65" s="597">
        <v>0</v>
      </c>
      <c r="D65" s="598">
        <v>20</v>
      </c>
      <c r="E65" s="598">
        <v>0</v>
      </c>
      <c r="F65" s="599">
        <v>1230.6420000000001</v>
      </c>
      <c r="G65" s="599">
        <v>3202.79</v>
      </c>
      <c r="H65" s="599">
        <v>1360</v>
      </c>
      <c r="I65" s="599">
        <v>160.05199999999999</v>
      </c>
      <c r="J65" s="599">
        <v>432.18900000000002</v>
      </c>
      <c r="K65" s="599">
        <v>210</v>
      </c>
      <c r="L65" s="599">
        <v>0</v>
      </c>
      <c r="M65" s="599">
        <v>0</v>
      </c>
      <c r="N65" s="599">
        <v>0</v>
      </c>
      <c r="O65" s="600">
        <f>SUM(F65:H65)*C65/100+SUM(I65:K65)*D65/100+SUM(L65:N65)*E65/100</f>
        <v>160.44819999999999</v>
      </c>
      <c r="P65" s="424"/>
      <c r="Q65" s="424"/>
      <c r="R65" s="420"/>
      <c r="T65" s="421"/>
    </row>
    <row r="66" spans="1:20" ht="15.6">
      <c r="A66" s="401">
        <v>19</v>
      </c>
      <c r="B66" s="622" t="s">
        <v>253</v>
      </c>
      <c r="C66" s="561"/>
      <c r="D66" s="476"/>
      <c r="E66" s="476"/>
      <c r="F66" s="483"/>
      <c r="G66" s="483"/>
      <c r="H66" s="483"/>
      <c r="I66" s="483"/>
      <c r="J66" s="483"/>
      <c r="K66" s="483"/>
      <c r="L66" s="483"/>
      <c r="M66" s="483"/>
      <c r="N66" s="483"/>
      <c r="O66" s="478">
        <f>O67</f>
        <v>80.224099999999993</v>
      </c>
      <c r="P66" s="479">
        <v>0</v>
      </c>
      <c r="Q66" s="479">
        <v>0</v>
      </c>
      <c r="R66" s="480">
        <f>O66-P66-Q66</f>
        <v>80.224099999999993</v>
      </c>
      <c r="T66" s="421"/>
    </row>
    <row r="67" spans="1:20" ht="26.4">
      <c r="B67" s="623" t="s">
        <v>281</v>
      </c>
      <c r="C67" s="597">
        <v>0</v>
      </c>
      <c r="D67" s="598">
        <v>10</v>
      </c>
      <c r="E67" s="598">
        <v>0</v>
      </c>
      <c r="F67" s="599">
        <v>1230.6420000000001</v>
      </c>
      <c r="G67" s="599">
        <v>3202.79</v>
      </c>
      <c r="H67" s="599">
        <v>1360</v>
      </c>
      <c r="I67" s="599">
        <v>160.05199999999999</v>
      </c>
      <c r="J67" s="599">
        <v>432.18900000000002</v>
      </c>
      <c r="K67" s="599">
        <v>210</v>
      </c>
      <c r="L67" s="599">
        <v>0</v>
      </c>
      <c r="M67" s="599">
        <v>0</v>
      </c>
      <c r="N67" s="599">
        <v>0</v>
      </c>
      <c r="O67" s="600">
        <f>SUM(F67:H67)*C67/100+SUM(I67:K67)*D67/100+SUM(L67:N67)*E67/100</f>
        <v>80.224099999999993</v>
      </c>
      <c r="P67" s="424"/>
      <c r="Q67" s="424"/>
      <c r="R67" s="420"/>
      <c r="T67" s="421"/>
    </row>
    <row r="68" spans="1:20" ht="15.6">
      <c r="A68" s="401">
        <v>20</v>
      </c>
      <c r="B68" s="622" t="s">
        <v>254</v>
      </c>
      <c r="C68" s="561"/>
      <c r="D68" s="476"/>
      <c r="E68" s="476"/>
      <c r="F68" s="483"/>
      <c r="G68" s="483"/>
      <c r="H68" s="483"/>
      <c r="I68" s="483"/>
      <c r="J68" s="483"/>
      <c r="K68" s="483"/>
      <c r="L68" s="483"/>
      <c r="M68" s="483"/>
      <c r="N68" s="483"/>
      <c r="O68" s="478">
        <f>O69</f>
        <v>80.224099999999993</v>
      </c>
      <c r="P68" s="479">
        <v>0</v>
      </c>
      <c r="Q68" s="479">
        <v>0</v>
      </c>
      <c r="R68" s="480">
        <f>O68-P68-Q68</f>
        <v>80.224099999999993</v>
      </c>
      <c r="T68" s="421"/>
    </row>
    <row r="69" spans="1:20" ht="26.4">
      <c r="B69" s="623" t="s">
        <v>281</v>
      </c>
      <c r="C69" s="597">
        <v>0</v>
      </c>
      <c r="D69" s="598">
        <v>10</v>
      </c>
      <c r="E69" s="598">
        <v>0</v>
      </c>
      <c r="F69" s="599">
        <v>1230.6420000000001</v>
      </c>
      <c r="G69" s="599">
        <v>3202.79</v>
      </c>
      <c r="H69" s="599">
        <v>1360</v>
      </c>
      <c r="I69" s="599">
        <v>160.05199999999999</v>
      </c>
      <c r="J69" s="599">
        <v>432.18900000000002</v>
      </c>
      <c r="K69" s="599">
        <v>210</v>
      </c>
      <c r="L69" s="599">
        <v>0</v>
      </c>
      <c r="M69" s="599">
        <v>0</v>
      </c>
      <c r="N69" s="599">
        <v>0</v>
      </c>
      <c r="O69" s="600">
        <f>SUM(F69:H69)*C69/100+SUM(I69:K69)*D69/100+SUM(L69:N69)*E69/100</f>
        <v>80.224099999999993</v>
      </c>
      <c r="P69" s="424"/>
      <c r="Q69" s="424"/>
      <c r="R69" s="485"/>
      <c r="T69" s="421"/>
    </row>
    <row r="70" spans="1:20" ht="15.6">
      <c r="A70" s="401">
        <v>21</v>
      </c>
      <c r="B70" s="622" t="s">
        <v>255</v>
      </c>
      <c r="C70" s="562"/>
      <c r="D70" s="486"/>
      <c r="E70" s="486"/>
      <c r="F70" s="487"/>
      <c r="G70" s="487"/>
      <c r="H70" s="483"/>
      <c r="I70" s="483"/>
      <c r="J70" s="483"/>
      <c r="K70" s="483"/>
      <c r="L70" s="483"/>
      <c r="M70" s="483"/>
      <c r="N70" s="483"/>
      <c r="O70" s="478">
        <f>O71</f>
        <v>1400.46</v>
      </c>
      <c r="P70" s="479">
        <v>0</v>
      </c>
      <c r="Q70" s="479">
        <v>0</v>
      </c>
      <c r="R70" s="480">
        <f>O70-P70-Q70</f>
        <v>1400.46</v>
      </c>
      <c r="T70" s="421"/>
    </row>
    <row r="71" spans="1:20" ht="26.4">
      <c r="B71" s="623" t="s">
        <v>322</v>
      </c>
      <c r="C71" s="597">
        <v>0</v>
      </c>
      <c r="D71" s="598">
        <v>0</v>
      </c>
      <c r="E71" s="598">
        <v>20</v>
      </c>
      <c r="F71" s="599">
        <v>23383.363000000001</v>
      </c>
      <c r="G71" s="599">
        <v>13645.062</v>
      </c>
      <c r="H71" s="599">
        <v>15242.8</v>
      </c>
      <c r="I71" s="599">
        <v>185.06399999999999</v>
      </c>
      <c r="J71" s="599">
        <v>216.84</v>
      </c>
      <c r="K71" s="599">
        <v>225.6</v>
      </c>
      <c r="L71" s="599">
        <v>3400.85</v>
      </c>
      <c r="M71" s="599">
        <v>1713.35</v>
      </c>
      <c r="N71" s="599">
        <v>1888.1</v>
      </c>
      <c r="O71" s="600">
        <f>SUM(F71:H71)*C71/100+SUM(I71:K71)*D71/100+SUM(L71:N71)*E71/100</f>
        <v>1400.46</v>
      </c>
      <c r="P71" s="482"/>
      <c r="Q71" s="482"/>
      <c r="R71" s="485"/>
      <c r="T71" s="421"/>
    </row>
    <row r="72" spans="1:20" ht="15.6">
      <c r="A72" s="401">
        <v>22</v>
      </c>
      <c r="B72" s="622" t="s">
        <v>256</v>
      </c>
      <c r="C72" s="562"/>
      <c r="D72" s="486"/>
      <c r="E72" s="486"/>
      <c r="F72" s="487"/>
      <c r="G72" s="487"/>
      <c r="H72" s="483"/>
      <c r="I72" s="483"/>
      <c r="J72" s="483"/>
      <c r="K72" s="483"/>
      <c r="L72" s="483"/>
      <c r="M72" s="483"/>
      <c r="N72" s="483"/>
      <c r="O72" s="478">
        <f>O73</f>
        <v>700.23</v>
      </c>
      <c r="P72" s="479">
        <v>0</v>
      </c>
      <c r="Q72" s="479">
        <v>0</v>
      </c>
      <c r="R72" s="480">
        <f>O72-P72-Q72</f>
        <v>700.23</v>
      </c>
      <c r="T72" s="421"/>
    </row>
    <row r="73" spans="1:20" ht="26.4">
      <c r="B73" s="623" t="s">
        <v>322</v>
      </c>
      <c r="C73" s="597">
        <v>0</v>
      </c>
      <c r="D73" s="598">
        <v>0</v>
      </c>
      <c r="E73" s="598">
        <v>10</v>
      </c>
      <c r="F73" s="599">
        <v>23383.363000000001</v>
      </c>
      <c r="G73" s="599">
        <v>13645.062</v>
      </c>
      <c r="H73" s="599">
        <v>15242.8</v>
      </c>
      <c r="I73" s="599">
        <v>185.06399999999999</v>
      </c>
      <c r="J73" s="599">
        <v>216.84</v>
      </c>
      <c r="K73" s="599">
        <v>225.6</v>
      </c>
      <c r="L73" s="599">
        <v>3400.85</v>
      </c>
      <c r="M73" s="599">
        <v>1713.35</v>
      </c>
      <c r="N73" s="599">
        <v>1888.1</v>
      </c>
      <c r="O73" s="600">
        <f>SUM(F73:H73)*C73/100+SUM(I73:K73)*D73/100+SUM(L73:N73)*E73/100</f>
        <v>700.23</v>
      </c>
      <c r="P73" s="482"/>
      <c r="Q73" s="482"/>
      <c r="R73" s="485"/>
      <c r="T73" s="421"/>
    </row>
    <row r="74" spans="1:20" ht="15.6">
      <c r="A74" s="401">
        <v>23</v>
      </c>
      <c r="B74" s="622" t="s">
        <v>257</v>
      </c>
      <c r="C74" s="562"/>
      <c r="D74" s="486"/>
      <c r="E74" s="486"/>
      <c r="F74" s="487"/>
      <c r="G74" s="487"/>
      <c r="H74" s="483"/>
      <c r="I74" s="483"/>
      <c r="J74" s="483"/>
      <c r="K74" s="483"/>
      <c r="L74" s="483"/>
      <c r="M74" s="483"/>
      <c r="N74" s="483"/>
      <c r="O74" s="478">
        <f>O75</f>
        <v>158.21499999999997</v>
      </c>
      <c r="P74" s="479">
        <v>0</v>
      </c>
      <c r="Q74" s="479">
        <v>0</v>
      </c>
      <c r="R74" s="480">
        <f>O74-P74-Q74</f>
        <v>158.21499999999997</v>
      </c>
      <c r="T74" s="421"/>
    </row>
    <row r="75" spans="1:20" ht="15">
      <c r="B75" s="623" t="s">
        <v>323</v>
      </c>
      <c r="C75" s="597">
        <v>0</v>
      </c>
      <c r="D75" s="598">
        <v>0</v>
      </c>
      <c r="E75" s="598">
        <v>50</v>
      </c>
      <c r="F75" s="599">
        <v>3021.3510000000001</v>
      </c>
      <c r="G75" s="599">
        <v>6209.9530000000004</v>
      </c>
      <c r="H75" s="599">
        <v>6651.1580000000004</v>
      </c>
      <c r="I75" s="599">
        <v>81.521000000000001</v>
      </c>
      <c r="J75" s="599">
        <v>72.31</v>
      </c>
      <c r="K75" s="599">
        <v>77.230999999999995</v>
      </c>
      <c r="L75" s="599">
        <v>32.15</v>
      </c>
      <c r="M75" s="599">
        <v>256.38299999999998</v>
      </c>
      <c r="N75" s="599">
        <v>27.896999999999998</v>
      </c>
      <c r="O75" s="600">
        <f>SUM(F75:H75)*C75/100+SUM(I75:K75)*D75/100+SUM(L75:N75)*E75/100</f>
        <v>158.21499999999997</v>
      </c>
      <c r="P75" s="482"/>
      <c r="Q75" s="482"/>
      <c r="R75" s="485"/>
      <c r="T75" s="421"/>
    </row>
    <row r="76" spans="1:20" ht="15.6">
      <c r="B76" s="625" t="s">
        <v>300</v>
      </c>
      <c r="C76" s="561"/>
      <c r="D76" s="476"/>
      <c r="E76" s="476"/>
      <c r="F76" s="483"/>
      <c r="G76" s="483"/>
      <c r="H76" s="483"/>
      <c r="I76" s="483"/>
      <c r="J76" s="483"/>
      <c r="K76" s="483"/>
      <c r="L76" s="483"/>
      <c r="M76" s="483"/>
      <c r="N76" s="483"/>
      <c r="O76" s="488">
        <f>SUM(O77)</f>
        <v>700.23</v>
      </c>
      <c r="P76" s="479">
        <v>0</v>
      </c>
      <c r="Q76" s="479">
        <v>0</v>
      </c>
      <c r="R76" s="480">
        <f>O76-P76-Q76</f>
        <v>700.23</v>
      </c>
      <c r="T76" s="421"/>
    </row>
    <row r="77" spans="1:20" ht="26.4">
      <c r="B77" s="623" t="s">
        <v>322</v>
      </c>
      <c r="C77" s="597">
        <v>0</v>
      </c>
      <c r="D77" s="598">
        <v>0</v>
      </c>
      <c r="E77" s="598">
        <v>10</v>
      </c>
      <c r="F77" s="599">
        <v>23383.363000000001</v>
      </c>
      <c r="G77" s="599">
        <v>13645.062</v>
      </c>
      <c r="H77" s="599">
        <v>15242.8</v>
      </c>
      <c r="I77" s="599">
        <v>185.06399999999999</v>
      </c>
      <c r="J77" s="599">
        <v>216.84</v>
      </c>
      <c r="K77" s="599">
        <v>225.6</v>
      </c>
      <c r="L77" s="599">
        <v>3400.85</v>
      </c>
      <c r="M77" s="599">
        <v>1713.35</v>
      </c>
      <c r="N77" s="599">
        <v>1888.1</v>
      </c>
      <c r="O77" s="600">
        <f>SUM(F77:H77)*C77/100+SUM(I77:K77)*D77/100+SUM(L77:N77)*E77/100</f>
        <v>700.23</v>
      </c>
      <c r="P77" s="482"/>
      <c r="Q77" s="482"/>
      <c r="R77" s="420"/>
      <c r="T77" s="421"/>
    </row>
    <row r="78" spans="1:20" ht="17.399999999999999">
      <c r="B78" s="579" t="s">
        <v>301</v>
      </c>
      <c r="C78" s="563"/>
      <c r="D78" s="489"/>
      <c r="E78" s="489"/>
      <c r="F78" s="490"/>
      <c r="G78" s="490"/>
      <c r="H78" s="490"/>
      <c r="I78" s="490"/>
      <c r="J78" s="490"/>
      <c r="K78" s="490"/>
      <c r="L78" s="490"/>
      <c r="M78" s="490"/>
      <c r="N78" s="490"/>
      <c r="O78" s="489"/>
      <c r="P78" s="491">
        <f>SUM(P79)</f>
        <v>5233.7</v>
      </c>
      <c r="Q78" s="491">
        <f>SUM(Q79)</f>
        <v>7159.1</v>
      </c>
      <c r="R78" s="428">
        <f>R79</f>
        <v>-510.51000000000113</v>
      </c>
      <c r="T78" s="421"/>
    </row>
    <row r="79" spans="1:20" ht="16.2" thickBot="1">
      <c r="A79" s="401">
        <v>24</v>
      </c>
      <c r="B79" s="619" t="s">
        <v>302</v>
      </c>
      <c r="C79" s="555"/>
      <c r="D79" s="407"/>
      <c r="E79" s="407"/>
      <c r="F79" s="453"/>
      <c r="G79" s="453"/>
      <c r="H79" s="453"/>
      <c r="I79" s="453"/>
      <c r="J79" s="453"/>
      <c r="K79" s="453"/>
      <c r="L79" s="453"/>
      <c r="M79" s="453"/>
      <c r="N79" s="453"/>
      <c r="O79" s="492">
        <f>SUM(O80+O81)</f>
        <v>11882.289999999999</v>
      </c>
      <c r="P79" s="493">
        <v>5233.7</v>
      </c>
      <c r="Q79" s="494">
        <v>7159.1</v>
      </c>
      <c r="R79" s="480">
        <f>O79-P79-Q79</f>
        <v>-510.51000000000113</v>
      </c>
      <c r="T79" s="421"/>
    </row>
    <row r="80" spans="1:20" ht="15.6">
      <c r="B80" s="620" t="s">
        <v>282</v>
      </c>
      <c r="C80" s="564">
        <v>100</v>
      </c>
      <c r="D80" s="495">
        <v>100</v>
      </c>
      <c r="E80" s="495">
        <v>100</v>
      </c>
      <c r="F80" s="496">
        <v>105</v>
      </c>
      <c r="G80" s="496">
        <v>98</v>
      </c>
      <c r="H80" s="496">
        <v>107</v>
      </c>
      <c r="I80" s="496">
        <v>4395.8</v>
      </c>
      <c r="J80" s="496">
        <v>3475</v>
      </c>
      <c r="K80" s="496">
        <v>2790</v>
      </c>
      <c r="L80" s="497">
        <v>0</v>
      </c>
      <c r="M80" s="497">
        <v>0</v>
      </c>
      <c r="N80" s="497">
        <v>0</v>
      </c>
      <c r="O80" s="498">
        <f>SUM(F80:H80)*C80/100+SUM(I80:K80)*D80/100+SUM(L80:N80)*E80/100</f>
        <v>10970.8</v>
      </c>
      <c r="P80" s="482"/>
      <c r="Q80" s="482"/>
      <c r="R80" s="420"/>
      <c r="T80" s="421"/>
    </row>
    <row r="81" spans="1:20" ht="15.6">
      <c r="B81" s="621" t="s">
        <v>283</v>
      </c>
      <c r="C81" s="592">
        <v>0</v>
      </c>
      <c r="D81" s="593">
        <v>15</v>
      </c>
      <c r="E81" s="593">
        <v>0</v>
      </c>
      <c r="F81" s="594">
        <v>1693</v>
      </c>
      <c r="G81" s="594">
        <v>2125</v>
      </c>
      <c r="H81" s="594">
        <v>870</v>
      </c>
      <c r="I81" s="594">
        <v>1360.6</v>
      </c>
      <c r="J81" s="594">
        <v>2086</v>
      </c>
      <c r="K81" s="594">
        <v>2630</v>
      </c>
      <c r="L81" s="595">
        <v>0</v>
      </c>
      <c r="M81" s="595">
        <v>0</v>
      </c>
      <c r="N81" s="595">
        <v>0</v>
      </c>
      <c r="O81" s="596">
        <f>SUM(F81:H81)*C81/100+SUM(I81:K81)*D81/100+SUM(L81:N81)*E81/100</f>
        <v>911.49</v>
      </c>
      <c r="P81" s="482"/>
      <c r="Q81" s="482"/>
      <c r="R81" s="420"/>
      <c r="T81" s="421"/>
    </row>
    <row r="82" spans="1:20" ht="17.399999999999999">
      <c r="B82" s="580" t="s">
        <v>303</v>
      </c>
      <c r="C82" s="565"/>
      <c r="D82" s="499"/>
      <c r="E82" s="499"/>
      <c r="F82" s="500"/>
      <c r="G82" s="500"/>
      <c r="H82" s="500"/>
      <c r="I82" s="500"/>
      <c r="J82" s="500"/>
      <c r="K82" s="500"/>
      <c r="L82" s="500"/>
      <c r="M82" s="500"/>
      <c r="N82" s="500"/>
      <c r="O82" s="501">
        <f>O83+O86+O89</f>
        <v>5201.1689999999999</v>
      </c>
      <c r="P82" s="502">
        <f>P83+P86+P89</f>
        <v>2226.5</v>
      </c>
      <c r="Q82" s="502">
        <f>Q83+Q86+Q89</f>
        <v>1214.5999999999999</v>
      </c>
      <c r="R82" s="475">
        <f>R83+R86+R89</f>
        <v>1760.0689999999997</v>
      </c>
      <c r="T82" s="421"/>
    </row>
    <row r="83" spans="1:20" ht="15">
      <c r="A83" s="401">
        <v>25</v>
      </c>
      <c r="B83" s="616" t="s">
        <v>261</v>
      </c>
      <c r="C83" s="566"/>
      <c r="D83" s="503"/>
      <c r="E83" s="503"/>
      <c r="F83" s="504"/>
      <c r="G83" s="504"/>
      <c r="H83" s="504"/>
      <c r="I83" s="504"/>
      <c r="J83" s="504"/>
      <c r="K83" s="504"/>
      <c r="L83" s="504"/>
      <c r="M83" s="504"/>
      <c r="N83" s="504"/>
      <c r="O83" s="505">
        <f>O84+O85</f>
        <v>230.4</v>
      </c>
      <c r="P83" s="506">
        <v>1150</v>
      </c>
      <c r="Q83" s="506">
        <v>0</v>
      </c>
      <c r="R83" s="480">
        <f>O83-P83-Q83</f>
        <v>-919.6</v>
      </c>
      <c r="T83" s="421"/>
    </row>
    <row r="84" spans="1:20" ht="15.6">
      <c r="B84" s="617" t="s">
        <v>324</v>
      </c>
      <c r="C84" s="567">
        <v>100</v>
      </c>
      <c r="D84" s="507">
        <v>50</v>
      </c>
      <c r="E84" s="507">
        <v>100</v>
      </c>
      <c r="F84" s="508">
        <v>0</v>
      </c>
      <c r="G84" s="509">
        <v>0</v>
      </c>
      <c r="H84" s="509">
        <v>0</v>
      </c>
      <c r="I84" s="509">
        <v>460.8</v>
      </c>
      <c r="J84" s="509">
        <v>0</v>
      </c>
      <c r="K84" s="509">
        <v>0</v>
      </c>
      <c r="L84" s="509">
        <v>0</v>
      </c>
      <c r="M84" s="509">
        <v>0</v>
      </c>
      <c r="N84" s="509">
        <v>0</v>
      </c>
      <c r="O84" s="510">
        <f>SUM(F84:H84)*C84/100+SUM(I84:K84)*D84/100+SUM(L84:N84)*E84/100</f>
        <v>230.4</v>
      </c>
      <c r="P84" s="511"/>
      <c r="Q84" s="511"/>
      <c r="R84" s="512"/>
      <c r="T84" s="421"/>
    </row>
    <row r="85" spans="1:20" ht="15.6">
      <c r="B85" s="617" t="s">
        <v>285</v>
      </c>
      <c r="C85" s="567">
        <v>100</v>
      </c>
      <c r="D85" s="507">
        <v>70</v>
      </c>
      <c r="E85" s="507">
        <v>100</v>
      </c>
      <c r="F85" s="509">
        <v>0</v>
      </c>
      <c r="G85" s="509">
        <v>0</v>
      </c>
      <c r="H85" s="509">
        <v>0</v>
      </c>
      <c r="I85" s="509">
        <v>0</v>
      </c>
      <c r="J85" s="509">
        <v>0</v>
      </c>
      <c r="K85" s="509">
        <v>0</v>
      </c>
      <c r="L85" s="509">
        <v>0</v>
      </c>
      <c r="M85" s="509">
        <v>0</v>
      </c>
      <c r="N85" s="509">
        <v>0</v>
      </c>
      <c r="O85" s="510">
        <f>SUM(F85:H85)*C85/100+SUM(I85:K85)*D85/100+SUM(L85:N85)*E85/100</f>
        <v>0</v>
      </c>
      <c r="P85" s="511"/>
      <c r="Q85" s="511"/>
      <c r="R85" s="512"/>
      <c r="T85" s="421"/>
    </row>
    <row r="86" spans="1:20" ht="15">
      <c r="A86" s="401">
        <v>26</v>
      </c>
      <c r="B86" s="616" t="s">
        <v>262</v>
      </c>
      <c r="C86" s="566"/>
      <c r="D86" s="503"/>
      <c r="E86" s="503"/>
      <c r="F86" s="513"/>
      <c r="G86" s="513"/>
      <c r="H86" s="513"/>
      <c r="I86" s="513"/>
      <c r="J86" s="513"/>
      <c r="K86" s="513"/>
      <c r="L86" s="513"/>
      <c r="M86" s="513"/>
      <c r="N86" s="513"/>
      <c r="O86" s="505">
        <f>O87+O88</f>
        <v>230.4</v>
      </c>
      <c r="P86" s="514">
        <v>702</v>
      </c>
      <c r="Q86" s="515">
        <v>0</v>
      </c>
      <c r="R86" s="516">
        <f>O86-P86-Q86</f>
        <v>-471.6</v>
      </c>
      <c r="T86" s="421"/>
    </row>
    <row r="87" spans="1:20" ht="15.6">
      <c r="B87" s="617" t="s">
        <v>324</v>
      </c>
      <c r="C87" s="567">
        <v>0</v>
      </c>
      <c r="D87" s="507">
        <v>50</v>
      </c>
      <c r="E87" s="507">
        <v>0</v>
      </c>
      <c r="F87" s="508">
        <v>0</v>
      </c>
      <c r="G87" s="509">
        <v>0</v>
      </c>
      <c r="H87" s="509">
        <v>0</v>
      </c>
      <c r="I87" s="509">
        <v>460.8</v>
      </c>
      <c r="J87" s="509">
        <v>0</v>
      </c>
      <c r="K87" s="509">
        <v>0</v>
      </c>
      <c r="L87" s="509">
        <v>0</v>
      </c>
      <c r="M87" s="509">
        <v>0</v>
      </c>
      <c r="N87" s="509">
        <v>0</v>
      </c>
      <c r="O87" s="510">
        <f>SUM(F87:H87)*C87/100+SUM(I87:K87)*D87/100+SUM(L87:N87)*E87/100</f>
        <v>230.4</v>
      </c>
      <c r="P87" s="511"/>
      <c r="Q87" s="511"/>
      <c r="R87" s="512"/>
      <c r="T87" s="421"/>
    </row>
    <row r="88" spans="1:20" ht="15.6">
      <c r="B88" s="617" t="s">
        <v>285</v>
      </c>
      <c r="C88" s="567">
        <v>0</v>
      </c>
      <c r="D88" s="507">
        <v>30</v>
      </c>
      <c r="E88" s="507">
        <v>0</v>
      </c>
      <c r="F88" s="509">
        <v>0</v>
      </c>
      <c r="G88" s="509">
        <v>0</v>
      </c>
      <c r="H88" s="509">
        <v>0</v>
      </c>
      <c r="I88" s="509">
        <v>0</v>
      </c>
      <c r="J88" s="509">
        <v>0</v>
      </c>
      <c r="K88" s="509">
        <v>0</v>
      </c>
      <c r="L88" s="509">
        <v>0</v>
      </c>
      <c r="M88" s="509">
        <v>0</v>
      </c>
      <c r="N88" s="509">
        <v>0</v>
      </c>
      <c r="O88" s="510">
        <f>SUM(F88:H88)*C88/100+SUM(I88:K88)*D88/100+SUM(L88:N88)*E88/100</f>
        <v>0</v>
      </c>
      <c r="P88" s="511"/>
      <c r="Q88" s="511"/>
      <c r="R88" s="512"/>
    </row>
    <row r="89" spans="1:20" ht="15.6">
      <c r="A89" s="401">
        <v>27</v>
      </c>
      <c r="B89" s="616" t="s">
        <v>263</v>
      </c>
      <c r="C89" s="566"/>
      <c r="D89" s="503"/>
      <c r="E89" s="503"/>
      <c r="F89" s="513"/>
      <c r="G89" s="513"/>
      <c r="H89" s="513"/>
      <c r="I89" s="513"/>
      <c r="J89" s="513"/>
      <c r="K89" s="513"/>
      <c r="L89" s="513"/>
      <c r="M89" s="513"/>
      <c r="N89" s="513"/>
      <c r="O89" s="505">
        <f>O90+O91</f>
        <v>4740.3689999999997</v>
      </c>
      <c r="P89" s="514">
        <v>374.5</v>
      </c>
      <c r="Q89" s="517">
        <v>1214.5999999999999</v>
      </c>
      <c r="R89" s="516">
        <f>O89-P89-Q89</f>
        <v>3151.2689999999998</v>
      </c>
    </row>
    <row r="90" spans="1:20" ht="15.6">
      <c r="B90" s="617" t="s">
        <v>325</v>
      </c>
      <c r="C90" s="567">
        <v>100</v>
      </c>
      <c r="D90" s="507">
        <v>100</v>
      </c>
      <c r="E90" s="507">
        <v>100</v>
      </c>
      <c r="F90" s="509">
        <v>0</v>
      </c>
      <c r="G90" s="509">
        <v>0</v>
      </c>
      <c r="H90" s="509">
        <v>0</v>
      </c>
      <c r="I90" s="509">
        <v>910</v>
      </c>
      <c r="J90" s="509">
        <v>1588.5</v>
      </c>
      <c r="K90" s="509">
        <v>1957.9</v>
      </c>
      <c r="L90" s="509">
        <v>0</v>
      </c>
      <c r="M90" s="509">
        <v>0</v>
      </c>
      <c r="N90" s="509">
        <v>0</v>
      </c>
      <c r="O90" s="510">
        <f>SUM(F90:H90)*C90/100+SUM(I90:K90)*D90/100+SUM(L90:N90)*E90/100</f>
        <v>4456.3999999999996</v>
      </c>
      <c r="P90" s="511"/>
      <c r="Q90" s="511"/>
      <c r="R90" s="512"/>
    </row>
    <row r="91" spans="1:20" ht="15.6">
      <c r="B91" s="618" t="s">
        <v>327</v>
      </c>
      <c r="C91" s="567">
        <v>100</v>
      </c>
      <c r="D91" s="507">
        <v>100</v>
      </c>
      <c r="E91" s="507">
        <v>100</v>
      </c>
      <c r="F91" s="509">
        <v>0</v>
      </c>
      <c r="G91" s="509">
        <v>0</v>
      </c>
      <c r="H91" s="509">
        <v>0</v>
      </c>
      <c r="I91" s="509">
        <v>0</v>
      </c>
      <c r="J91" s="509">
        <v>98.168999999999997</v>
      </c>
      <c r="K91" s="509">
        <v>185.8</v>
      </c>
      <c r="L91" s="509">
        <v>0</v>
      </c>
      <c r="M91" s="509">
        <v>0</v>
      </c>
      <c r="N91" s="509">
        <v>0</v>
      </c>
      <c r="O91" s="510">
        <f>SUM(F91:H91)*C91/100+SUM(I91:K91)*D91/100+SUM(L91:N91)*E91/100</f>
        <v>283.96899999999999</v>
      </c>
      <c r="P91" s="511"/>
      <c r="Q91" s="511"/>
      <c r="R91" s="512"/>
    </row>
    <row r="92" spans="1:20" ht="17.399999999999999">
      <c r="B92" s="581" t="s">
        <v>304</v>
      </c>
      <c r="C92" s="568"/>
      <c r="D92" s="518"/>
      <c r="E92" s="518"/>
      <c r="F92" s="519"/>
      <c r="G92" s="519"/>
      <c r="H92" s="519"/>
      <c r="I92" s="519"/>
      <c r="J92" s="519"/>
      <c r="K92" s="519"/>
      <c r="L92" s="519"/>
      <c r="M92" s="519"/>
      <c r="N92" s="519"/>
      <c r="O92" s="520">
        <f>O93</f>
        <v>5618.8975</v>
      </c>
      <c r="P92" s="520">
        <f>P93</f>
        <v>7244.1</v>
      </c>
      <c r="Q92" s="520">
        <f>Q93</f>
        <v>0</v>
      </c>
      <c r="R92" s="475">
        <f>R93</f>
        <v>-1625.2025000000003</v>
      </c>
    </row>
    <row r="93" spans="1:20" ht="15">
      <c r="A93" s="401">
        <v>28</v>
      </c>
      <c r="B93" s="614" t="s">
        <v>264</v>
      </c>
      <c r="C93" s="569"/>
      <c r="D93" s="521"/>
      <c r="E93" s="521"/>
      <c r="F93" s="522"/>
      <c r="G93" s="522"/>
      <c r="H93" s="522"/>
      <c r="I93" s="522"/>
      <c r="J93" s="522"/>
      <c r="K93" s="522"/>
      <c r="L93" s="522"/>
      <c r="M93" s="522"/>
      <c r="N93" s="522"/>
      <c r="O93" s="523">
        <f>O94</f>
        <v>5618.8975</v>
      </c>
      <c r="P93" s="524">
        <v>7244.1</v>
      </c>
      <c r="Q93" s="523">
        <v>0</v>
      </c>
      <c r="R93" s="480">
        <f>O93-P93-Q93</f>
        <v>-1625.2025000000003</v>
      </c>
      <c r="T93" s="525"/>
    </row>
    <row r="94" spans="1:20" ht="26.4">
      <c r="B94" s="615" t="s">
        <v>326</v>
      </c>
      <c r="C94" s="570">
        <v>100</v>
      </c>
      <c r="D94" s="526">
        <v>100</v>
      </c>
      <c r="E94" s="526">
        <v>100</v>
      </c>
      <c r="F94" s="527">
        <v>1992.6</v>
      </c>
      <c r="G94" s="527">
        <v>1635.0867000000001</v>
      </c>
      <c r="H94" s="527">
        <v>1488.1836000000001</v>
      </c>
      <c r="I94" s="527">
        <v>77</v>
      </c>
      <c r="J94" s="527">
        <v>31.134399999999999</v>
      </c>
      <c r="K94" s="527">
        <v>47.101100000000002</v>
      </c>
      <c r="L94" s="527">
        <v>70.430000000000007</v>
      </c>
      <c r="M94" s="527">
        <v>123.44589999999999</v>
      </c>
      <c r="N94" s="527">
        <v>153.91579999999999</v>
      </c>
      <c r="O94" s="528">
        <f>SUM(F94:H94)*C94/100+SUM(I94:K94)*D94/100+SUM(L94:N94)*E94/100</f>
        <v>5618.8975</v>
      </c>
      <c r="P94" s="482"/>
      <c r="Q94" s="481"/>
      <c r="R94" s="529"/>
    </row>
    <row r="95" spans="1:20" ht="17.399999999999999">
      <c r="B95" s="582" t="s">
        <v>305</v>
      </c>
      <c r="C95" s="571"/>
      <c r="D95" s="466"/>
      <c r="E95" s="466"/>
      <c r="F95" s="530"/>
      <c r="G95" s="530"/>
      <c r="H95" s="530"/>
      <c r="I95" s="530"/>
      <c r="J95" s="530"/>
      <c r="K95" s="530"/>
      <c r="L95" s="530"/>
      <c r="M95" s="530"/>
      <c r="N95" s="530"/>
      <c r="O95" s="420">
        <f>O96</f>
        <v>9853.11</v>
      </c>
      <c r="P95" s="531">
        <f>P96</f>
        <v>10979.5</v>
      </c>
      <c r="Q95" s="531">
        <f>Q96</f>
        <v>0</v>
      </c>
      <c r="R95" s="428">
        <f>R96</f>
        <v>-1126.3899999999994</v>
      </c>
    </row>
    <row r="96" spans="1:20" ht="15.6" thickBot="1">
      <c r="A96" s="401">
        <v>29</v>
      </c>
      <c r="B96" s="612" t="s">
        <v>267</v>
      </c>
      <c r="C96" s="572"/>
      <c r="D96" s="532"/>
      <c r="E96" s="532"/>
      <c r="F96" s="533"/>
      <c r="G96" s="533"/>
      <c r="H96" s="533"/>
      <c r="I96" s="533"/>
      <c r="J96" s="533"/>
      <c r="K96" s="533"/>
      <c r="L96" s="533"/>
      <c r="M96" s="533"/>
      <c r="N96" s="533"/>
      <c r="O96" s="532">
        <f>O97</f>
        <v>9853.11</v>
      </c>
      <c r="P96" s="534">
        <v>10979.5</v>
      </c>
      <c r="Q96" s="535">
        <v>0</v>
      </c>
      <c r="R96" s="480">
        <f>O96-P96-Q96</f>
        <v>-1126.3899999999994</v>
      </c>
    </row>
    <row r="97" spans="2:18" ht="15.6">
      <c r="B97" s="613" t="s">
        <v>283</v>
      </c>
      <c r="C97" s="588">
        <v>100</v>
      </c>
      <c r="D97" s="589">
        <v>85</v>
      </c>
      <c r="E97" s="589">
        <v>0</v>
      </c>
      <c r="F97" s="590">
        <v>1693</v>
      </c>
      <c r="G97" s="590">
        <v>2125</v>
      </c>
      <c r="H97" s="590">
        <v>870</v>
      </c>
      <c r="I97" s="590">
        <v>1360.6</v>
      </c>
      <c r="J97" s="590">
        <v>2086</v>
      </c>
      <c r="K97" s="590">
        <v>2630</v>
      </c>
      <c r="L97" s="590">
        <v>0</v>
      </c>
      <c r="M97" s="590">
        <v>0</v>
      </c>
      <c r="N97" s="590">
        <v>0</v>
      </c>
      <c r="O97" s="591">
        <f>SUM(F97:H97)*C97/100+SUM(I97:K97)*D97/100+SUM(L97:N97)*E97/100</f>
        <v>9853.11</v>
      </c>
      <c r="P97" s="536"/>
      <c r="Q97" s="536"/>
      <c r="R97" s="537"/>
    </row>
    <row r="98" spans="2:18" ht="17.399999999999999">
      <c r="B98" s="538" t="s">
        <v>306</v>
      </c>
      <c r="C98" s="573"/>
      <c r="D98" s="539"/>
      <c r="E98" s="539"/>
      <c r="F98" s="540"/>
      <c r="G98" s="540"/>
      <c r="H98" s="540"/>
      <c r="I98" s="540"/>
      <c r="J98" s="540"/>
      <c r="K98" s="540"/>
      <c r="L98" s="540"/>
      <c r="M98" s="540"/>
      <c r="N98" s="540"/>
      <c r="O98" s="539"/>
      <c r="P98" s="539"/>
      <c r="Q98" s="539"/>
      <c r="R98" s="475">
        <f>R99+R102+R105+R108+R111+R114+R117+R120+R123+R126</f>
        <v>7665.6844584999999</v>
      </c>
    </row>
    <row r="99" spans="2:18" ht="15">
      <c r="B99" s="541" t="s">
        <v>307</v>
      </c>
      <c r="C99" s="574"/>
      <c r="D99" s="542"/>
      <c r="E99" s="542"/>
      <c r="F99" s="543"/>
      <c r="G99" s="543"/>
      <c r="H99" s="543"/>
      <c r="I99" s="543"/>
      <c r="J99" s="543"/>
      <c r="K99" s="543"/>
      <c r="L99" s="543"/>
      <c r="M99" s="543"/>
      <c r="N99" s="543"/>
      <c r="O99" s="544">
        <f>O100+O101</f>
        <v>341.12835949999999</v>
      </c>
      <c r="P99" s="542">
        <v>0</v>
      </c>
      <c r="Q99" s="542">
        <v>0</v>
      </c>
      <c r="R99" s="480">
        <f>O99-P99-Q99</f>
        <v>341.12835949999999</v>
      </c>
    </row>
    <row r="100" spans="2:18">
      <c r="B100" s="610" t="s">
        <v>320</v>
      </c>
      <c r="C100" s="575">
        <v>1.5</v>
      </c>
      <c r="D100" s="545">
        <v>0</v>
      </c>
      <c r="E100" s="545">
        <v>0</v>
      </c>
      <c r="F100" s="546">
        <v>1217.0999999999999</v>
      </c>
      <c r="G100" s="546">
        <v>1979.2322999999999</v>
      </c>
      <c r="H100" s="547">
        <v>5816.6</v>
      </c>
      <c r="I100" s="546">
        <v>104141.8</v>
      </c>
      <c r="J100" s="546">
        <v>84014.182400000005</v>
      </c>
      <c r="K100" s="547">
        <v>112355.49</v>
      </c>
      <c r="L100" s="548">
        <v>0</v>
      </c>
      <c r="M100" s="548">
        <v>0</v>
      </c>
      <c r="N100" s="547">
        <v>0</v>
      </c>
      <c r="O100" s="549">
        <f>SUM(F100:H100)*C100/100+SUM(I100:K100)*D100/100+SUM(L100:N100)*E100/100</f>
        <v>135.1939845</v>
      </c>
      <c r="P100" s="484"/>
      <c r="Q100" s="484"/>
      <c r="R100" s="466"/>
    </row>
    <row r="101" spans="2:18" ht="26.4">
      <c r="B101" s="611" t="s">
        <v>321</v>
      </c>
      <c r="C101" s="583">
        <v>2.5</v>
      </c>
      <c r="D101" s="584">
        <v>0</v>
      </c>
      <c r="E101" s="584">
        <v>0</v>
      </c>
      <c r="F101" s="585">
        <v>1497.8</v>
      </c>
      <c r="G101" s="585">
        <v>3744.2750000000001</v>
      </c>
      <c r="H101" s="586">
        <v>2995.3</v>
      </c>
      <c r="I101" s="585">
        <v>14</v>
      </c>
      <c r="J101" s="585">
        <v>35.393999999999998</v>
      </c>
      <c r="K101" s="586">
        <v>30.146000000000001</v>
      </c>
      <c r="L101" s="585">
        <v>0</v>
      </c>
      <c r="M101" s="585">
        <v>0</v>
      </c>
      <c r="N101" s="586">
        <v>0</v>
      </c>
      <c r="O101" s="587">
        <f>SUM(F101:H101)*C101/100+SUM(I101:K101)*D101/100+SUM(L101:N101)*E101/100</f>
        <v>205.93437499999999</v>
      </c>
      <c r="P101" s="484"/>
      <c r="Q101" s="484"/>
      <c r="R101" s="466"/>
    </row>
    <row r="102" spans="2:18" ht="15">
      <c r="B102" s="541" t="s">
        <v>308</v>
      </c>
      <c r="C102" s="574"/>
      <c r="D102" s="542"/>
      <c r="E102" s="542"/>
      <c r="F102" s="543"/>
      <c r="G102" s="543"/>
      <c r="H102" s="543"/>
      <c r="I102" s="543"/>
      <c r="J102" s="543"/>
      <c r="K102" s="543"/>
      <c r="L102" s="543"/>
      <c r="M102" s="543"/>
      <c r="N102" s="543"/>
      <c r="O102" s="544">
        <f>O103+O104</f>
        <v>468.56677100000002</v>
      </c>
      <c r="P102" s="542">
        <v>0</v>
      </c>
      <c r="Q102" s="542">
        <v>0</v>
      </c>
      <c r="R102" s="480">
        <f>O102-P102-Q102</f>
        <v>468.56677100000002</v>
      </c>
    </row>
    <row r="103" spans="2:18" ht="15.6">
      <c r="B103" s="610" t="s">
        <v>320</v>
      </c>
      <c r="C103" s="575">
        <v>2</v>
      </c>
      <c r="D103" s="545">
        <v>0</v>
      </c>
      <c r="E103" s="545">
        <v>0</v>
      </c>
      <c r="F103" s="546">
        <v>1217.0999999999999</v>
      </c>
      <c r="G103" s="546">
        <v>1979.2322999999999</v>
      </c>
      <c r="H103" s="547">
        <v>5816.6</v>
      </c>
      <c r="I103" s="546">
        <v>104141.8</v>
      </c>
      <c r="J103" s="546">
        <v>84014.182400000005</v>
      </c>
      <c r="K103" s="547">
        <v>112355.49</v>
      </c>
      <c r="L103" s="548">
        <v>0</v>
      </c>
      <c r="M103" s="548">
        <v>0</v>
      </c>
      <c r="N103" s="547">
        <v>0</v>
      </c>
      <c r="O103" s="549">
        <f>SUM(F103:H103)*C103/100+SUM(I103:K103)*D103/100+SUM(L103:N103)*E103/100</f>
        <v>180.258646</v>
      </c>
      <c r="P103" s="484"/>
      <c r="Q103" s="484"/>
      <c r="R103" s="537"/>
    </row>
    <row r="104" spans="2:18" ht="26.4">
      <c r="B104" s="611" t="s">
        <v>321</v>
      </c>
      <c r="C104" s="583">
        <v>3.5</v>
      </c>
      <c r="D104" s="584">
        <v>0</v>
      </c>
      <c r="E104" s="584">
        <v>0</v>
      </c>
      <c r="F104" s="585">
        <v>1497.8</v>
      </c>
      <c r="G104" s="585">
        <v>3744.2750000000001</v>
      </c>
      <c r="H104" s="586">
        <v>2995.3</v>
      </c>
      <c r="I104" s="585">
        <v>14</v>
      </c>
      <c r="J104" s="585">
        <v>35.393999999999998</v>
      </c>
      <c r="K104" s="586">
        <v>30.146000000000001</v>
      </c>
      <c r="L104" s="585">
        <v>0</v>
      </c>
      <c r="M104" s="585">
        <v>0</v>
      </c>
      <c r="N104" s="586">
        <v>0</v>
      </c>
      <c r="O104" s="587">
        <f>SUM(F104:H104)*C104/100+SUM(I104:K104)*D104/100+SUM(L104:N104)*E104/100</f>
        <v>288.30812500000002</v>
      </c>
      <c r="P104" s="484"/>
      <c r="Q104" s="484"/>
      <c r="R104" s="537"/>
    </row>
    <row r="105" spans="2:18" ht="15">
      <c r="B105" s="541" t="s">
        <v>309</v>
      </c>
      <c r="C105" s="574"/>
      <c r="D105" s="542"/>
      <c r="E105" s="542"/>
      <c r="F105" s="543"/>
      <c r="G105" s="543"/>
      <c r="H105" s="543"/>
      <c r="I105" s="543"/>
      <c r="J105" s="543"/>
      <c r="K105" s="543"/>
      <c r="L105" s="543"/>
      <c r="M105" s="543"/>
      <c r="N105" s="543"/>
      <c r="O105" s="544">
        <f>O106+O107</f>
        <v>637.19126749999998</v>
      </c>
      <c r="P105" s="542">
        <v>0</v>
      </c>
      <c r="Q105" s="542">
        <v>0</v>
      </c>
      <c r="R105" s="480">
        <f>O105-P105-Q105</f>
        <v>637.19126749999998</v>
      </c>
    </row>
    <row r="106" spans="2:18" ht="15.6">
      <c r="B106" s="610" t="s">
        <v>320</v>
      </c>
      <c r="C106" s="575">
        <v>2.5</v>
      </c>
      <c r="D106" s="545">
        <v>0</v>
      </c>
      <c r="E106" s="545">
        <v>0</v>
      </c>
      <c r="F106" s="546">
        <v>1217.0999999999999</v>
      </c>
      <c r="G106" s="546">
        <v>1979.2322999999999</v>
      </c>
      <c r="H106" s="547">
        <v>5816.5684000000001</v>
      </c>
      <c r="I106" s="546">
        <v>104141.8</v>
      </c>
      <c r="J106" s="546">
        <v>84014.182400000005</v>
      </c>
      <c r="K106" s="547">
        <v>112355.49</v>
      </c>
      <c r="L106" s="548">
        <v>0</v>
      </c>
      <c r="M106" s="548">
        <v>0</v>
      </c>
      <c r="N106" s="547">
        <v>0</v>
      </c>
      <c r="O106" s="549">
        <f>SUM(F106:H106)*C106/100+SUM(I106:K106)*D106/100+SUM(L106:N106)*E106/100</f>
        <v>225.3225175</v>
      </c>
      <c r="P106" s="484"/>
      <c r="Q106" s="484"/>
      <c r="R106" s="537"/>
    </row>
    <row r="107" spans="2:18" ht="26.4">
      <c r="B107" s="611" t="s">
        <v>321</v>
      </c>
      <c r="C107" s="583">
        <v>5</v>
      </c>
      <c r="D107" s="584">
        <v>0</v>
      </c>
      <c r="E107" s="584">
        <v>0</v>
      </c>
      <c r="F107" s="585">
        <v>1497.8</v>
      </c>
      <c r="G107" s="585">
        <v>3744.2750000000001</v>
      </c>
      <c r="H107" s="586">
        <v>2995.3</v>
      </c>
      <c r="I107" s="585">
        <v>14</v>
      </c>
      <c r="J107" s="585">
        <v>35.393999999999998</v>
      </c>
      <c r="K107" s="586">
        <v>30.146000000000001</v>
      </c>
      <c r="L107" s="585">
        <v>0</v>
      </c>
      <c r="M107" s="585">
        <v>0</v>
      </c>
      <c r="N107" s="586">
        <v>0</v>
      </c>
      <c r="O107" s="587">
        <f>SUM(F107:H107)*C107/100+SUM(I107:K107)*D107/100+SUM(L107:N107)*E107/100</f>
        <v>411.86874999999998</v>
      </c>
      <c r="P107" s="484"/>
      <c r="Q107" s="484"/>
      <c r="R107" s="537"/>
    </row>
    <row r="108" spans="2:18" ht="15">
      <c r="B108" s="541" t="s">
        <v>310</v>
      </c>
      <c r="C108" s="574"/>
      <c r="D108" s="542"/>
      <c r="E108" s="542"/>
      <c r="F108" s="543"/>
      <c r="G108" s="543"/>
      <c r="H108" s="543"/>
      <c r="I108" s="543"/>
      <c r="J108" s="543"/>
      <c r="K108" s="543"/>
      <c r="L108" s="543"/>
      <c r="M108" s="543"/>
      <c r="N108" s="543"/>
      <c r="O108" s="544">
        <f>O109+O110</f>
        <v>172.502757</v>
      </c>
      <c r="P108" s="542">
        <v>0</v>
      </c>
      <c r="Q108" s="542">
        <v>0</v>
      </c>
      <c r="R108" s="480">
        <f>O108-P108-Q108</f>
        <v>172.502757</v>
      </c>
    </row>
    <row r="109" spans="2:18" ht="15.6">
      <c r="B109" s="610" t="s">
        <v>320</v>
      </c>
      <c r="C109" s="575">
        <v>1</v>
      </c>
      <c r="D109" s="545">
        <v>0</v>
      </c>
      <c r="E109" s="545">
        <v>0</v>
      </c>
      <c r="F109" s="546">
        <v>1217.0999999999999</v>
      </c>
      <c r="G109" s="546">
        <v>1979.2322999999999</v>
      </c>
      <c r="H109" s="547">
        <v>5816.5684000000001</v>
      </c>
      <c r="I109" s="546">
        <v>104141.8</v>
      </c>
      <c r="J109" s="546">
        <v>84014.182400000005</v>
      </c>
      <c r="K109" s="547">
        <v>112355.49</v>
      </c>
      <c r="L109" s="548">
        <v>0</v>
      </c>
      <c r="M109" s="548">
        <v>0</v>
      </c>
      <c r="N109" s="547">
        <v>0</v>
      </c>
      <c r="O109" s="549">
        <f>SUM(F109:H109)*C109/100+SUM(I109:K109)*D109/100+SUM(L109:N109)*E109/100</f>
        <v>90.129007000000001</v>
      </c>
      <c r="P109" s="484"/>
      <c r="Q109" s="484"/>
      <c r="R109" s="537"/>
    </row>
    <row r="110" spans="2:18" ht="26.4">
      <c r="B110" s="611" t="s">
        <v>321</v>
      </c>
      <c r="C110" s="583">
        <v>1</v>
      </c>
      <c r="D110" s="584">
        <v>0</v>
      </c>
      <c r="E110" s="584">
        <v>0</v>
      </c>
      <c r="F110" s="585">
        <v>1497.8</v>
      </c>
      <c r="G110" s="585">
        <v>3744.2750000000001</v>
      </c>
      <c r="H110" s="586">
        <v>2995.3</v>
      </c>
      <c r="I110" s="585">
        <v>14</v>
      </c>
      <c r="J110" s="585">
        <v>35.393999999999998</v>
      </c>
      <c r="K110" s="586">
        <v>30.146000000000001</v>
      </c>
      <c r="L110" s="585">
        <v>0</v>
      </c>
      <c r="M110" s="585">
        <v>0</v>
      </c>
      <c r="N110" s="586">
        <v>0</v>
      </c>
      <c r="O110" s="587">
        <f>SUM(F110:H110)*C110/100+SUM(I110:K110)*D110/100+SUM(L110:N110)*E110/100</f>
        <v>82.373750000000001</v>
      </c>
      <c r="P110" s="484"/>
      <c r="Q110" s="484"/>
      <c r="R110" s="537"/>
    </row>
    <row r="111" spans="2:18" ht="15">
      <c r="B111" s="541" t="s">
        <v>311</v>
      </c>
      <c r="C111" s="574"/>
      <c r="D111" s="542"/>
      <c r="E111" s="542"/>
      <c r="F111" s="543"/>
      <c r="G111" s="543"/>
      <c r="H111" s="543"/>
      <c r="I111" s="543"/>
      <c r="J111" s="543"/>
      <c r="K111" s="543"/>
      <c r="L111" s="543"/>
      <c r="M111" s="543"/>
      <c r="N111" s="543"/>
      <c r="O111" s="544">
        <f>O112+O113</f>
        <v>509.75301400000001</v>
      </c>
      <c r="P111" s="542">
        <v>0</v>
      </c>
      <c r="Q111" s="542">
        <v>0</v>
      </c>
      <c r="R111" s="480">
        <f>O111-P111-Q111</f>
        <v>509.75301400000001</v>
      </c>
    </row>
    <row r="112" spans="2:18" ht="15.6">
      <c r="B112" s="610" t="s">
        <v>320</v>
      </c>
      <c r="C112" s="575">
        <v>2</v>
      </c>
      <c r="D112" s="545">
        <v>0</v>
      </c>
      <c r="E112" s="545">
        <v>0</v>
      </c>
      <c r="F112" s="546">
        <v>1217.0999999999999</v>
      </c>
      <c r="G112" s="546">
        <v>1979.2322999999999</v>
      </c>
      <c r="H112" s="547">
        <v>5816.5684000000001</v>
      </c>
      <c r="I112" s="546">
        <v>104141.8</v>
      </c>
      <c r="J112" s="546">
        <v>84014.182400000005</v>
      </c>
      <c r="K112" s="547">
        <v>112355.49</v>
      </c>
      <c r="L112" s="548">
        <v>0</v>
      </c>
      <c r="M112" s="548">
        <v>0</v>
      </c>
      <c r="N112" s="547">
        <v>0</v>
      </c>
      <c r="O112" s="549">
        <f>SUM(F112:H112)*C112/100+SUM(I112:K112)*D112/100+SUM(L112:N112)*E112/100</f>
        <v>180.258014</v>
      </c>
      <c r="P112" s="484"/>
      <c r="Q112" s="484"/>
      <c r="R112" s="537"/>
    </row>
    <row r="113" spans="2:18" ht="26.4">
      <c r="B113" s="611" t="s">
        <v>321</v>
      </c>
      <c r="C113" s="583">
        <v>4</v>
      </c>
      <c r="D113" s="584">
        <v>0</v>
      </c>
      <c r="E113" s="584">
        <v>0</v>
      </c>
      <c r="F113" s="585">
        <v>1497.8</v>
      </c>
      <c r="G113" s="585">
        <v>3744.2750000000001</v>
      </c>
      <c r="H113" s="586">
        <v>2995.3</v>
      </c>
      <c r="I113" s="585">
        <v>14</v>
      </c>
      <c r="J113" s="585">
        <v>35.393999999999998</v>
      </c>
      <c r="K113" s="586">
        <v>30.146000000000001</v>
      </c>
      <c r="L113" s="585">
        <v>0</v>
      </c>
      <c r="M113" s="585">
        <v>0</v>
      </c>
      <c r="N113" s="586">
        <v>0</v>
      </c>
      <c r="O113" s="587">
        <f>SUM(F113:H113)*C113/100+SUM(I113:K113)*D113/100+SUM(L113:N113)*E113/100</f>
        <v>329.495</v>
      </c>
      <c r="P113" s="484"/>
      <c r="Q113" s="484"/>
      <c r="R113" s="537"/>
    </row>
    <row r="114" spans="2:18" ht="15">
      <c r="B114" s="541" t="s">
        <v>312</v>
      </c>
      <c r="C114" s="574"/>
      <c r="D114" s="542"/>
      <c r="E114" s="542"/>
      <c r="F114" s="543"/>
      <c r="G114" s="543"/>
      <c r="H114" s="543"/>
      <c r="I114" s="543"/>
      <c r="J114" s="543"/>
      <c r="K114" s="543"/>
      <c r="L114" s="543"/>
      <c r="M114" s="543"/>
      <c r="N114" s="543"/>
      <c r="O114" s="544">
        <f>O115+O116</f>
        <v>254.876507</v>
      </c>
      <c r="P114" s="542">
        <v>0</v>
      </c>
      <c r="Q114" s="542">
        <v>0</v>
      </c>
      <c r="R114" s="550">
        <f>O114-P114-Q114</f>
        <v>254.876507</v>
      </c>
    </row>
    <row r="115" spans="2:18" ht="15.6">
      <c r="B115" s="610" t="s">
        <v>320</v>
      </c>
      <c r="C115" s="575">
        <v>1</v>
      </c>
      <c r="D115" s="545">
        <v>0</v>
      </c>
      <c r="E115" s="545">
        <v>0</v>
      </c>
      <c r="F115" s="546">
        <v>1217.0999999999999</v>
      </c>
      <c r="G115" s="546">
        <v>1979.2322999999999</v>
      </c>
      <c r="H115" s="547">
        <v>5816.5684000000001</v>
      </c>
      <c r="I115" s="546">
        <v>104141.8</v>
      </c>
      <c r="J115" s="546">
        <v>84014.182400000005</v>
      </c>
      <c r="K115" s="547">
        <v>112355.49</v>
      </c>
      <c r="L115" s="548">
        <v>0</v>
      </c>
      <c r="M115" s="548">
        <v>0</v>
      </c>
      <c r="N115" s="547">
        <v>0</v>
      </c>
      <c r="O115" s="549">
        <f>SUM(F115:H115)*C115/100+SUM(I115:K115)*D115/100+SUM(L115:N115)*E115/100</f>
        <v>90.129007000000001</v>
      </c>
      <c r="P115" s="484"/>
      <c r="Q115" s="484"/>
      <c r="R115" s="537"/>
    </row>
    <row r="116" spans="2:18" ht="26.4">
      <c r="B116" s="611" t="s">
        <v>321</v>
      </c>
      <c r="C116" s="583">
        <v>2</v>
      </c>
      <c r="D116" s="584">
        <v>0</v>
      </c>
      <c r="E116" s="584">
        <v>0</v>
      </c>
      <c r="F116" s="585">
        <v>1497.8</v>
      </c>
      <c r="G116" s="585">
        <v>3744.2750000000001</v>
      </c>
      <c r="H116" s="586">
        <v>2995.3</v>
      </c>
      <c r="I116" s="585">
        <v>14</v>
      </c>
      <c r="J116" s="585">
        <v>35.393999999999998</v>
      </c>
      <c r="K116" s="586">
        <v>30.146000000000001</v>
      </c>
      <c r="L116" s="585">
        <v>0</v>
      </c>
      <c r="M116" s="585">
        <v>0</v>
      </c>
      <c r="N116" s="586">
        <v>0</v>
      </c>
      <c r="O116" s="587">
        <f>SUM(F116:H116)*C116/100+SUM(I116:K116)*D116/100+SUM(L116:N116)*E116/100</f>
        <v>164.7475</v>
      </c>
      <c r="P116" s="484"/>
      <c r="Q116" s="484"/>
      <c r="R116" s="537"/>
    </row>
    <row r="117" spans="2:18" ht="15">
      <c r="B117" s="541" t="s">
        <v>313</v>
      </c>
      <c r="C117" s="574"/>
      <c r="D117" s="542"/>
      <c r="E117" s="542"/>
      <c r="F117" s="543"/>
      <c r="G117" s="543"/>
      <c r="H117" s="543"/>
      <c r="I117" s="543"/>
      <c r="J117" s="543"/>
      <c r="K117" s="543"/>
      <c r="L117" s="543"/>
      <c r="M117" s="543"/>
      <c r="N117" s="543"/>
      <c r="O117" s="544">
        <f>O118+O119</f>
        <v>1833.077681</v>
      </c>
      <c r="P117" s="542">
        <v>0</v>
      </c>
      <c r="Q117" s="542">
        <v>0</v>
      </c>
      <c r="R117" s="480">
        <f>O117-P117-Q117</f>
        <v>1833.077681</v>
      </c>
    </row>
    <row r="118" spans="2:18" ht="15.6">
      <c r="B118" s="610" t="s">
        <v>320</v>
      </c>
      <c r="C118" s="575">
        <v>8</v>
      </c>
      <c r="D118" s="545">
        <v>0</v>
      </c>
      <c r="E118" s="545">
        <v>0</v>
      </c>
      <c r="F118" s="546">
        <v>1217.0999999999999</v>
      </c>
      <c r="G118" s="546">
        <v>1979.2322999999999</v>
      </c>
      <c r="H118" s="547">
        <v>5816.5684000000001</v>
      </c>
      <c r="I118" s="546">
        <v>104141.8</v>
      </c>
      <c r="J118" s="546">
        <v>84014.182400000005</v>
      </c>
      <c r="K118" s="547">
        <v>112355.49</v>
      </c>
      <c r="L118" s="548">
        <v>0</v>
      </c>
      <c r="M118" s="548">
        <v>0</v>
      </c>
      <c r="N118" s="547">
        <v>0</v>
      </c>
      <c r="O118" s="549">
        <f>SUM(F118:H118)*C118/100+SUM(I118:K118)*D118/100+SUM(L118:N118)*E118/100</f>
        <v>721.03205600000001</v>
      </c>
      <c r="P118" s="484"/>
      <c r="Q118" s="484"/>
      <c r="R118" s="537"/>
    </row>
    <row r="119" spans="2:18" ht="26.4">
      <c r="B119" s="611" t="s">
        <v>321</v>
      </c>
      <c r="C119" s="583">
        <v>13.5</v>
      </c>
      <c r="D119" s="584">
        <v>0</v>
      </c>
      <c r="E119" s="584">
        <v>0</v>
      </c>
      <c r="F119" s="585">
        <v>1497.8</v>
      </c>
      <c r="G119" s="585">
        <v>3744.2750000000001</v>
      </c>
      <c r="H119" s="586">
        <v>2995.3</v>
      </c>
      <c r="I119" s="585">
        <v>14</v>
      </c>
      <c r="J119" s="585">
        <v>35.393999999999998</v>
      </c>
      <c r="K119" s="586">
        <v>30.146000000000001</v>
      </c>
      <c r="L119" s="585">
        <v>0</v>
      </c>
      <c r="M119" s="585">
        <v>0</v>
      </c>
      <c r="N119" s="586">
        <v>0</v>
      </c>
      <c r="O119" s="587">
        <f>SUM(F119:H119)*C119/100+SUM(I119:K119)*D119/100+SUM(L119:N119)*E119/100</f>
        <v>1112.045625</v>
      </c>
      <c r="P119" s="484"/>
      <c r="Q119" s="484"/>
      <c r="R119" s="537"/>
    </row>
    <row r="120" spans="2:18" ht="15">
      <c r="B120" s="541" t="s">
        <v>314</v>
      </c>
      <c r="C120" s="574"/>
      <c r="D120" s="542"/>
      <c r="E120" s="542"/>
      <c r="F120" s="543"/>
      <c r="G120" s="543"/>
      <c r="H120" s="543"/>
      <c r="I120" s="543"/>
      <c r="J120" s="543"/>
      <c r="K120" s="543"/>
      <c r="L120" s="543"/>
      <c r="M120" s="543"/>
      <c r="N120" s="543"/>
      <c r="O120" s="544">
        <f>O121+O122</f>
        <v>723.44264599999997</v>
      </c>
      <c r="P120" s="542">
        <v>0</v>
      </c>
      <c r="Q120" s="542">
        <v>0</v>
      </c>
      <c r="R120" s="480">
        <f>O120-P120-Q120</f>
        <v>723.44264599999997</v>
      </c>
    </row>
    <row r="121" spans="2:18" ht="15.6">
      <c r="B121" s="610" t="s">
        <v>320</v>
      </c>
      <c r="C121" s="575">
        <v>3</v>
      </c>
      <c r="D121" s="545">
        <v>0</v>
      </c>
      <c r="E121" s="545">
        <v>0</v>
      </c>
      <c r="F121" s="546">
        <v>1217.0999999999999</v>
      </c>
      <c r="G121" s="546">
        <v>1979.2322999999999</v>
      </c>
      <c r="H121" s="547">
        <v>5816.5684000000001</v>
      </c>
      <c r="I121" s="546">
        <v>104141.8</v>
      </c>
      <c r="J121" s="546">
        <v>84014.182400000005</v>
      </c>
      <c r="K121" s="547">
        <v>112355.49</v>
      </c>
      <c r="L121" s="548">
        <v>0</v>
      </c>
      <c r="M121" s="548">
        <v>0</v>
      </c>
      <c r="N121" s="547">
        <v>0</v>
      </c>
      <c r="O121" s="549">
        <f>SUM(F121:H121)*C121/100+SUM(I121:K121)*D121/100+SUM(L121:N121)*E121/100</f>
        <v>270.387021</v>
      </c>
      <c r="P121" s="484"/>
      <c r="Q121" s="484"/>
      <c r="R121" s="537"/>
    </row>
    <row r="122" spans="2:18" ht="26.4">
      <c r="B122" s="611" t="s">
        <v>321</v>
      </c>
      <c r="C122" s="583">
        <v>5.5</v>
      </c>
      <c r="D122" s="584">
        <v>0</v>
      </c>
      <c r="E122" s="584">
        <v>0</v>
      </c>
      <c r="F122" s="585">
        <v>1497.8</v>
      </c>
      <c r="G122" s="585">
        <v>3744.2750000000001</v>
      </c>
      <c r="H122" s="586">
        <v>2995.3</v>
      </c>
      <c r="I122" s="585">
        <v>14</v>
      </c>
      <c r="J122" s="585">
        <v>35.393999999999998</v>
      </c>
      <c r="K122" s="586">
        <v>30.146000000000001</v>
      </c>
      <c r="L122" s="585">
        <v>0</v>
      </c>
      <c r="M122" s="585">
        <v>0</v>
      </c>
      <c r="N122" s="586">
        <v>0</v>
      </c>
      <c r="O122" s="587">
        <f>SUM(F122:H122)*C122/100+SUM(I122:K122)*D122/100+SUM(L122:N122)*E122/100</f>
        <v>453.05562500000002</v>
      </c>
      <c r="P122" s="484"/>
      <c r="Q122" s="484"/>
      <c r="R122" s="537"/>
    </row>
    <row r="123" spans="2:18" ht="15">
      <c r="B123" s="541" t="s">
        <v>315</v>
      </c>
      <c r="C123" s="574"/>
      <c r="D123" s="542"/>
      <c r="E123" s="542"/>
      <c r="F123" s="543"/>
      <c r="G123" s="543"/>
      <c r="H123" s="543"/>
      <c r="I123" s="543"/>
      <c r="J123" s="543"/>
      <c r="K123" s="543"/>
      <c r="L123" s="543"/>
      <c r="M123" s="543"/>
      <c r="N123" s="543"/>
      <c r="O123" s="544">
        <f>O124+O125</f>
        <v>1574.3235454999999</v>
      </c>
      <c r="P123" s="542">
        <v>0</v>
      </c>
      <c r="Q123" s="542">
        <v>0</v>
      </c>
      <c r="R123" s="480">
        <f>O123-P123-Q123</f>
        <v>1574.3235454999999</v>
      </c>
    </row>
    <row r="124" spans="2:18" ht="15.6">
      <c r="B124" s="610" t="s">
        <v>320</v>
      </c>
      <c r="C124" s="575">
        <v>6.5</v>
      </c>
      <c r="D124" s="545">
        <v>0</v>
      </c>
      <c r="E124" s="545">
        <v>0</v>
      </c>
      <c r="F124" s="546">
        <v>1217.0999999999999</v>
      </c>
      <c r="G124" s="546">
        <v>1979.2322999999999</v>
      </c>
      <c r="H124" s="547">
        <v>5816.5684000000001</v>
      </c>
      <c r="I124" s="546">
        <v>104141.8</v>
      </c>
      <c r="J124" s="546">
        <v>84014.182400000005</v>
      </c>
      <c r="K124" s="547">
        <v>112355.49</v>
      </c>
      <c r="L124" s="548">
        <v>0</v>
      </c>
      <c r="M124" s="548">
        <v>0</v>
      </c>
      <c r="N124" s="547">
        <v>0</v>
      </c>
      <c r="O124" s="549">
        <f>SUM(F124:H124)*C124/100+SUM(I124:K124)*D124/100+SUM(L124:N124)*E124/100</f>
        <v>585.83854550000001</v>
      </c>
      <c r="P124" s="484"/>
      <c r="Q124" s="484"/>
      <c r="R124" s="537"/>
    </row>
    <row r="125" spans="2:18" ht="26.4">
      <c r="B125" s="611" t="s">
        <v>321</v>
      </c>
      <c r="C125" s="583">
        <v>12</v>
      </c>
      <c r="D125" s="584">
        <v>0</v>
      </c>
      <c r="E125" s="584">
        <v>0</v>
      </c>
      <c r="F125" s="585">
        <v>1497.8</v>
      </c>
      <c r="G125" s="585">
        <v>3744.2750000000001</v>
      </c>
      <c r="H125" s="586">
        <v>2995.3</v>
      </c>
      <c r="I125" s="585">
        <v>14</v>
      </c>
      <c r="J125" s="585">
        <v>35.393999999999998</v>
      </c>
      <c r="K125" s="586">
        <v>30.146000000000001</v>
      </c>
      <c r="L125" s="585">
        <v>0</v>
      </c>
      <c r="M125" s="585">
        <v>0</v>
      </c>
      <c r="N125" s="586">
        <v>0</v>
      </c>
      <c r="O125" s="587">
        <f>SUM(F125:H125)*C125/100+SUM(I125:K125)*D125/100+SUM(L125:N125)*E125/100</f>
        <v>988.48500000000001</v>
      </c>
      <c r="P125" s="484"/>
      <c r="Q125" s="484"/>
      <c r="R125" s="537"/>
    </row>
    <row r="126" spans="2:18" ht="15">
      <c r="B126" s="541" t="s">
        <v>316</v>
      </c>
      <c r="C126" s="574"/>
      <c r="D126" s="542"/>
      <c r="E126" s="542"/>
      <c r="F126" s="543"/>
      <c r="G126" s="543"/>
      <c r="H126" s="543"/>
      <c r="I126" s="543"/>
      <c r="J126" s="543"/>
      <c r="K126" s="543"/>
      <c r="L126" s="543"/>
      <c r="M126" s="543"/>
      <c r="N126" s="543"/>
      <c r="O126" s="544">
        <f>O127+O128</f>
        <v>1150.8219100000001</v>
      </c>
      <c r="P126" s="542">
        <v>0</v>
      </c>
      <c r="Q126" s="542">
        <v>0</v>
      </c>
      <c r="R126" s="480">
        <f>O126-P126-Q126</f>
        <v>1150.8219100000001</v>
      </c>
    </row>
    <row r="127" spans="2:18" ht="15.6">
      <c r="B127" s="610" t="s">
        <v>320</v>
      </c>
      <c r="C127" s="575">
        <v>5</v>
      </c>
      <c r="D127" s="545">
        <v>0</v>
      </c>
      <c r="E127" s="545">
        <v>0</v>
      </c>
      <c r="F127" s="546">
        <v>1217.0999999999999</v>
      </c>
      <c r="G127" s="546">
        <v>1979.2322999999999</v>
      </c>
      <c r="H127" s="547">
        <v>5816.5684000000001</v>
      </c>
      <c r="I127" s="546">
        <v>104141.8</v>
      </c>
      <c r="J127" s="546">
        <v>84014.182400000005</v>
      </c>
      <c r="K127" s="547">
        <v>112355.49</v>
      </c>
      <c r="L127" s="548">
        <v>0</v>
      </c>
      <c r="M127" s="548">
        <v>0</v>
      </c>
      <c r="N127" s="547">
        <v>0</v>
      </c>
      <c r="O127" s="549">
        <f>SUM(F127:H127)*C127/100+SUM(I127:K127)*D127/100+SUM(L127:N127)*E127/100</f>
        <v>450.64503500000001</v>
      </c>
      <c r="P127" s="484"/>
      <c r="Q127" s="484"/>
      <c r="R127" s="537"/>
    </row>
    <row r="128" spans="2:18" ht="27" thickBot="1">
      <c r="B128" s="611" t="s">
        <v>321</v>
      </c>
      <c r="C128" s="583">
        <v>8.5</v>
      </c>
      <c r="D128" s="584">
        <v>0</v>
      </c>
      <c r="E128" s="584">
        <v>0</v>
      </c>
      <c r="F128" s="585">
        <v>1497.8</v>
      </c>
      <c r="G128" s="585">
        <v>3744.2750000000001</v>
      </c>
      <c r="H128" s="586">
        <v>2995.3</v>
      </c>
      <c r="I128" s="585">
        <v>14</v>
      </c>
      <c r="J128" s="585">
        <v>35.393999999999998</v>
      </c>
      <c r="K128" s="586">
        <v>30.146000000000001</v>
      </c>
      <c r="L128" s="585">
        <v>0</v>
      </c>
      <c r="M128" s="585">
        <v>0</v>
      </c>
      <c r="N128" s="586">
        <v>0</v>
      </c>
      <c r="O128" s="587">
        <f>SUM(F128:H128)*C128/100+SUM(I128:K128)*D128/100+SUM(L128:N128)*E128/100</f>
        <v>700.176875</v>
      </c>
      <c r="P128" s="484"/>
      <c r="Q128" s="484"/>
      <c r="R128" s="537"/>
    </row>
    <row r="129" spans="18:18">
      <c r="R129" s="1244">
        <f>SUM(R8+R15+R45+R78+R82+R92+R95+R98)</f>
        <v>119797.52670599998</v>
      </c>
    </row>
    <row r="130" spans="18:18" ht="14.4" thickBot="1">
      <c r="R130" s="1245"/>
    </row>
    <row r="131" spans="18:18">
      <c r="R131" s="402"/>
    </row>
  </sheetData>
  <mergeCells count="23">
    <mergeCell ref="B1:R1"/>
    <mergeCell ref="B2:Q2"/>
    <mergeCell ref="B4:B7"/>
    <mergeCell ref="C4:E6"/>
    <mergeCell ref="F4:O4"/>
    <mergeCell ref="P4:Q5"/>
    <mergeCell ref="R4:R7"/>
    <mergeCell ref="F5:H5"/>
    <mergeCell ref="I5:K5"/>
    <mergeCell ref="L5:N5"/>
    <mergeCell ref="F6:F7"/>
    <mergeCell ref="G6:G7"/>
    <mergeCell ref="H6:H7"/>
    <mergeCell ref="I6:I7"/>
    <mergeCell ref="J6:J7"/>
    <mergeCell ref="K6:K7"/>
    <mergeCell ref="R129:R130"/>
    <mergeCell ref="L6:L7"/>
    <mergeCell ref="M6:M7"/>
    <mergeCell ref="N6:N7"/>
    <mergeCell ref="O6:O7"/>
    <mergeCell ref="P6:P7"/>
    <mergeCell ref="Q6:Q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5"/>
  <sheetViews>
    <sheetView tabSelected="1" topLeftCell="B1" workbookViewId="0">
      <pane ySplit="7" topLeftCell="A8" activePane="bottomLeft" state="frozen"/>
      <selection activeCell="B1" sqref="B1"/>
      <selection pane="bottomLeft" activeCell="H11" sqref="H11"/>
    </sheetView>
  </sheetViews>
  <sheetFormatPr defaultColWidth="9.109375" defaultRowHeight="15.6"/>
  <cols>
    <col min="1" max="1" width="0.88671875" style="394" hidden="1" customWidth="1"/>
    <col min="2" max="2" width="38.5546875" style="811" customWidth="1"/>
    <col min="3" max="3" width="6.109375" style="631" bestFit="1" customWidth="1"/>
    <col min="4" max="4" width="6.44140625" style="631" customWidth="1"/>
    <col min="5" max="5" width="7.44140625" style="631" customWidth="1"/>
    <col min="6" max="6" width="12.109375" style="395" customWidth="1"/>
    <col min="7" max="7" width="8.88671875" style="395" customWidth="1"/>
    <col min="8" max="8" width="8.6640625" style="395" customWidth="1"/>
    <col min="9" max="9" width="10.44140625" style="395" customWidth="1"/>
    <col min="10" max="10" width="10" style="395" bestFit="1" customWidth="1"/>
    <col min="11" max="11" width="10" style="395" customWidth="1"/>
    <col min="12" max="12" width="11.109375" style="395" customWidth="1"/>
    <col min="13" max="13" width="10.88671875" style="395" customWidth="1"/>
    <col min="14" max="14" width="10.5546875" style="395" customWidth="1"/>
    <col min="15" max="15" width="12.6640625" style="395" customWidth="1"/>
    <col min="16" max="16" width="14.44140625" style="395" customWidth="1"/>
    <col min="17" max="17" width="12.6640625" style="395" customWidth="1"/>
    <col min="18" max="18" width="16.44140625" style="395" customWidth="1"/>
    <col min="19" max="19" width="21.109375" style="15" customWidth="1"/>
    <col min="20" max="16384" width="9.109375" style="15"/>
  </cols>
  <sheetData>
    <row r="1" spans="1:19" ht="16.2">
      <c r="A1" s="632"/>
      <c r="B1" s="1267" t="s">
        <v>271</v>
      </c>
      <c r="C1" s="1267"/>
      <c r="D1" s="1267"/>
      <c r="E1" s="1267"/>
      <c r="F1" s="1267"/>
      <c r="G1" s="1267"/>
      <c r="H1" s="1267"/>
      <c r="I1" s="1267"/>
      <c r="J1" s="1267"/>
      <c r="K1" s="1267"/>
      <c r="L1" s="1267"/>
      <c r="M1" s="1267"/>
      <c r="N1" s="1267"/>
      <c r="O1" s="1267"/>
      <c r="P1" s="1267"/>
      <c r="Q1" s="1267"/>
      <c r="R1" s="1267"/>
      <c r="S1" s="633"/>
    </row>
    <row r="2" spans="1:19" ht="16.2">
      <c r="A2" s="632"/>
      <c r="B2" s="1268" t="s">
        <v>347</v>
      </c>
      <c r="C2" s="1268"/>
      <c r="D2" s="1268"/>
      <c r="E2" s="1268"/>
      <c r="F2" s="1268"/>
      <c r="G2" s="1268"/>
      <c r="H2" s="1268"/>
      <c r="I2" s="1268"/>
      <c r="J2" s="1268"/>
      <c r="K2" s="1268"/>
      <c r="L2" s="1268"/>
      <c r="M2" s="1268"/>
      <c r="N2" s="1268"/>
      <c r="O2" s="1268"/>
      <c r="P2" s="1268"/>
      <c r="Q2" s="1268"/>
      <c r="R2" s="634"/>
      <c r="S2" s="633"/>
    </row>
    <row r="3" spans="1:19" ht="15">
      <c r="A3" s="632"/>
      <c r="B3" s="797"/>
      <c r="C3" s="635"/>
      <c r="D3" s="635"/>
      <c r="E3" s="635"/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6"/>
      <c r="R3" s="637" t="s">
        <v>288</v>
      </c>
      <c r="S3" s="633"/>
    </row>
    <row r="4" spans="1:19" ht="21" customHeight="1">
      <c r="A4" s="632"/>
      <c r="B4" s="1276" t="s">
        <v>221</v>
      </c>
      <c r="C4" s="1279" t="s">
        <v>329</v>
      </c>
      <c r="D4" s="1280"/>
      <c r="E4" s="1281"/>
      <c r="F4" s="1288" t="s">
        <v>371</v>
      </c>
      <c r="G4" s="1289"/>
      <c r="H4" s="1289"/>
      <c r="I4" s="1289"/>
      <c r="J4" s="1289"/>
      <c r="K4" s="1289"/>
      <c r="L4" s="1289"/>
      <c r="M4" s="1289"/>
      <c r="N4" s="1289"/>
      <c r="O4" s="1290"/>
      <c r="P4" s="1279" t="s">
        <v>333</v>
      </c>
      <c r="Q4" s="1281"/>
      <c r="R4" s="1291" t="s">
        <v>346</v>
      </c>
      <c r="S4" s="1292" t="s">
        <v>334</v>
      </c>
    </row>
    <row r="5" spans="1:19" ht="68.400000000000006" customHeight="1">
      <c r="A5" s="632"/>
      <c r="B5" s="1277"/>
      <c r="C5" s="1282"/>
      <c r="D5" s="1283"/>
      <c r="E5" s="1284"/>
      <c r="F5" s="1269" t="s">
        <v>222</v>
      </c>
      <c r="G5" s="1269"/>
      <c r="H5" s="1269"/>
      <c r="I5" s="1288" t="s">
        <v>223</v>
      </c>
      <c r="J5" s="1293"/>
      <c r="K5" s="1294"/>
      <c r="L5" s="1288" t="s">
        <v>224</v>
      </c>
      <c r="M5" s="1293"/>
      <c r="N5" s="1294"/>
      <c r="O5" s="638" t="s">
        <v>225</v>
      </c>
      <c r="P5" s="1285"/>
      <c r="Q5" s="1287"/>
      <c r="R5" s="1291"/>
      <c r="S5" s="1292"/>
    </row>
    <row r="6" spans="1:19" ht="2.4" customHeight="1">
      <c r="A6" s="632"/>
      <c r="B6" s="1277"/>
      <c r="C6" s="1285"/>
      <c r="D6" s="1286"/>
      <c r="E6" s="1287"/>
      <c r="F6" s="1269">
        <v>2014</v>
      </c>
      <c r="G6" s="1269">
        <v>2015</v>
      </c>
      <c r="H6" s="1270">
        <v>2016</v>
      </c>
      <c r="I6" s="1269">
        <v>2014</v>
      </c>
      <c r="J6" s="1269">
        <v>2015</v>
      </c>
      <c r="K6" s="1270">
        <v>2016</v>
      </c>
      <c r="L6" s="1269">
        <v>2014</v>
      </c>
      <c r="M6" s="1269">
        <v>2015</v>
      </c>
      <c r="N6" s="1270">
        <v>2016</v>
      </c>
      <c r="O6" s="1272" t="s">
        <v>345</v>
      </c>
      <c r="P6" s="1269">
        <v>2016</v>
      </c>
      <c r="Q6" s="1269">
        <v>2017</v>
      </c>
      <c r="R6" s="1291"/>
      <c r="S6" s="1292"/>
    </row>
    <row r="7" spans="1:19" ht="37.5" customHeight="1" thickBot="1">
      <c r="A7" s="632"/>
      <c r="B7" s="1278"/>
      <c r="C7" s="639" t="s">
        <v>228</v>
      </c>
      <c r="D7" s="639" t="s">
        <v>229</v>
      </c>
      <c r="E7" s="639" t="s">
        <v>292</v>
      </c>
      <c r="F7" s="1269"/>
      <c r="G7" s="1269"/>
      <c r="H7" s="1275"/>
      <c r="I7" s="1269"/>
      <c r="J7" s="1269"/>
      <c r="K7" s="1275"/>
      <c r="L7" s="1269"/>
      <c r="M7" s="1269"/>
      <c r="N7" s="1271"/>
      <c r="O7" s="1272"/>
      <c r="P7" s="1269"/>
      <c r="Q7" s="1269"/>
      <c r="R7" s="1291"/>
      <c r="S7" s="1292"/>
    </row>
    <row r="8" spans="1:19" s="28" customFormat="1" ht="18.600000000000001" thickBot="1">
      <c r="A8" s="640">
        <v>1</v>
      </c>
      <c r="B8" s="798" t="s">
        <v>227</v>
      </c>
      <c r="C8" s="641"/>
      <c r="D8" s="641"/>
      <c r="E8" s="641"/>
      <c r="F8" s="642">
        <f t="shared" ref="F8:L8" si="0">SUM(F9:F14)</f>
        <v>825.50400000000002</v>
      </c>
      <c r="G8" s="642">
        <f t="shared" si="0"/>
        <v>480.60900000000004</v>
      </c>
      <c r="H8" s="642">
        <f t="shared" si="0"/>
        <v>489.9</v>
      </c>
      <c r="I8" s="642">
        <f t="shared" si="0"/>
        <v>8945.9150000000009</v>
      </c>
      <c r="J8" s="642">
        <f t="shared" si="0"/>
        <v>9497.5730000000003</v>
      </c>
      <c r="K8" s="642">
        <f t="shared" si="0"/>
        <v>8497.8000000000011</v>
      </c>
      <c r="L8" s="642">
        <f t="shared" si="0"/>
        <v>20966.007000000001</v>
      </c>
      <c r="M8" s="642">
        <f>SUM(M9:M14)</f>
        <v>15982.145999999999</v>
      </c>
      <c r="N8" s="642">
        <f>SUM(N9:N14)</f>
        <v>11074.6</v>
      </c>
      <c r="O8" s="643">
        <f>O9+O10+O11+O12+O13+O14</f>
        <v>76760.054000000004</v>
      </c>
      <c r="P8" s="644">
        <v>0</v>
      </c>
      <c r="Q8" s="644">
        <v>0</v>
      </c>
      <c r="R8" s="645">
        <f>O8-P8-Q8</f>
        <v>76760.054000000004</v>
      </c>
      <c r="S8" s="646">
        <f>R8</f>
        <v>76760.054000000004</v>
      </c>
    </row>
    <row r="9" spans="1:19" ht="19.2" thickTop="1" thickBot="1">
      <c r="A9" s="632"/>
      <c r="B9" s="812" t="s">
        <v>349</v>
      </c>
      <c r="C9" s="647">
        <v>100</v>
      </c>
      <c r="D9" s="647">
        <v>100</v>
      </c>
      <c r="E9" s="647">
        <v>100</v>
      </c>
      <c r="F9" s="648">
        <v>102.087</v>
      </c>
      <c r="G9" s="649">
        <v>118.82</v>
      </c>
      <c r="H9" s="649">
        <v>121</v>
      </c>
      <c r="I9" s="650">
        <v>6307.6480000000001</v>
      </c>
      <c r="J9" s="649">
        <v>7106.866</v>
      </c>
      <c r="K9" s="649">
        <v>6049.7</v>
      </c>
      <c r="L9" s="648">
        <v>19.446999999999999</v>
      </c>
      <c r="M9" s="649">
        <v>19.396000000000001</v>
      </c>
      <c r="N9" s="649">
        <v>19.399999999999999</v>
      </c>
      <c r="O9" s="648">
        <f t="shared" ref="O9:O14" si="1">SUM(F9:H9)*C9/100+SUM(I9:K9)*D9/100+SUM(L9:N9)*E9/100</f>
        <v>19864.363999999998</v>
      </c>
      <c r="P9" s="651">
        <v>0</v>
      </c>
      <c r="Q9" s="651">
        <v>0</v>
      </c>
      <c r="R9" s="645"/>
      <c r="S9" s="652"/>
    </row>
    <row r="10" spans="1:19" ht="18" customHeight="1" thickTop="1" thickBot="1">
      <c r="A10" s="632"/>
      <c r="B10" s="813" t="s">
        <v>350</v>
      </c>
      <c r="C10" s="647">
        <v>100</v>
      </c>
      <c r="D10" s="647">
        <v>100</v>
      </c>
      <c r="E10" s="647">
        <v>100</v>
      </c>
      <c r="F10" s="648">
        <v>11.446999999999999</v>
      </c>
      <c r="G10" s="649">
        <v>0</v>
      </c>
      <c r="H10" s="649">
        <v>0</v>
      </c>
      <c r="I10" s="648">
        <v>88.1</v>
      </c>
      <c r="J10" s="649">
        <v>31</v>
      </c>
      <c r="K10" s="649">
        <v>0</v>
      </c>
      <c r="L10" s="648">
        <v>15.76</v>
      </c>
      <c r="M10" s="649">
        <v>0</v>
      </c>
      <c r="N10" s="649">
        <v>0</v>
      </c>
      <c r="O10" s="648">
        <f t="shared" si="1"/>
        <v>146.30699999999999</v>
      </c>
      <c r="P10" s="651">
        <v>0</v>
      </c>
      <c r="Q10" s="651">
        <v>0</v>
      </c>
      <c r="R10" s="645"/>
      <c r="S10" s="652"/>
    </row>
    <row r="11" spans="1:19" ht="19.2" thickTop="1" thickBot="1">
      <c r="A11" s="632"/>
      <c r="B11" s="813" t="s">
        <v>351</v>
      </c>
      <c r="C11" s="647">
        <v>100</v>
      </c>
      <c r="D11" s="647">
        <v>100</v>
      </c>
      <c r="E11" s="647">
        <v>100</v>
      </c>
      <c r="F11" s="648">
        <v>0</v>
      </c>
      <c r="G11" s="649">
        <v>0</v>
      </c>
      <c r="H11" s="649">
        <v>0</v>
      </c>
      <c r="I11" s="648">
        <v>81</v>
      </c>
      <c r="J11" s="649">
        <v>135.565</v>
      </c>
      <c r="K11" s="649">
        <v>256.5</v>
      </c>
      <c r="L11" s="648">
        <v>17.2</v>
      </c>
      <c r="M11" s="649">
        <v>0</v>
      </c>
      <c r="N11" s="649">
        <v>0</v>
      </c>
      <c r="O11" s="648">
        <f t="shared" si="1"/>
        <v>490.26499999999999</v>
      </c>
      <c r="P11" s="651">
        <v>0</v>
      </c>
      <c r="Q11" s="651">
        <v>0</v>
      </c>
      <c r="R11" s="645"/>
      <c r="S11" s="652"/>
    </row>
    <row r="12" spans="1:19" ht="19.2" thickTop="1" thickBot="1">
      <c r="A12" s="632"/>
      <c r="B12" s="813" t="s">
        <v>352</v>
      </c>
      <c r="C12" s="647">
        <v>100</v>
      </c>
      <c r="D12" s="647">
        <v>100</v>
      </c>
      <c r="E12" s="647">
        <v>100</v>
      </c>
      <c r="F12" s="648">
        <v>227.001</v>
      </c>
      <c r="G12" s="649">
        <v>247.33600000000001</v>
      </c>
      <c r="H12" s="649">
        <v>239.4</v>
      </c>
      <c r="I12" s="649">
        <v>1643.2860000000001</v>
      </c>
      <c r="J12" s="649">
        <v>1378.4</v>
      </c>
      <c r="K12" s="649">
        <v>1345.9</v>
      </c>
      <c r="L12" s="649">
        <v>5913.6</v>
      </c>
      <c r="M12" s="649">
        <v>5011.2</v>
      </c>
      <c r="N12" s="649">
        <v>3622</v>
      </c>
      <c r="O12" s="648">
        <f t="shared" si="1"/>
        <v>19628.123</v>
      </c>
      <c r="P12" s="651">
        <v>0</v>
      </c>
      <c r="Q12" s="651">
        <v>0</v>
      </c>
      <c r="R12" s="645"/>
      <c r="S12" s="652"/>
    </row>
    <row r="13" spans="1:19" ht="19.2" thickTop="1" thickBot="1">
      <c r="A13" s="632"/>
      <c r="B13" s="814" t="s">
        <v>353</v>
      </c>
      <c r="C13" s="647">
        <v>100</v>
      </c>
      <c r="D13" s="647">
        <v>100</v>
      </c>
      <c r="E13" s="647">
        <v>100</v>
      </c>
      <c r="F13" s="648">
        <v>484.96899999999999</v>
      </c>
      <c r="G13" s="649">
        <v>114.453</v>
      </c>
      <c r="H13" s="649">
        <v>129.5</v>
      </c>
      <c r="I13" s="648">
        <v>825.88099999999997</v>
      </c>
      <c r="J13" s="649">
        <v>845.74199999999996</v>
      </c>
      <c r="K13" s="649">
        <v>845.7</v>
      </c>
      <c r="L13" s="649">
        <v>15000</v>
      </c>
      <c r="M13" s="649">
        <v>10951.55</v>
      </c>
      <c r="N13" s="649">
        <v>7433.2</v>
      </c>
      <c r="O13" s="648">
        <f t="shared" si="1"/>
        <v>36630.995000000003</v>
      </c>
      <c r="P13" s="651">
        <v>0</v>
      </c>
      <c r="Q13" s="651">
        <v>0</v>
      </c>
      <c r="R13" s="645"/>
      <c r="S13" s="652"/>
    </row>
    <row r="14" spans="1:19" ht="19.2" thickTop="1" thickBot="1">
      <c r="A14" s="632"/>
      <c r="B14" s="858" t="s">
        <v>354</v>
      </c>
      <c r="C14" s="647">
        <v>100</v>
      </c>
      <c r="D14" s="647">
        <v>100</v>
      </c>
      <c r="E14" s="647">
        <v>100</v>
      </c>
      <c r="F14" s="648">
        <v>0</v>
      </c>
      <c r="G14" s="649">
        <v>0</v>
      </c>
      <c r="H14" s="649">
        <v>0</v>
      </c>
      <c r="I14" s="648">
        <v>0</v>
      </c>
      <c r="J14" s="649">
        <v>0</v>
      </c>
      <c r="K14" s="649">
        <v>0</v>
      </c>
      <c r="L14" s="648">
        <v>0</v>
      </c>
      <c r="M14" s="649">
        <v>0</v>
      </c>
      <c r="N14" s="649">
        <v>0</v>
      </c>
      <c r="O14" s="648">
        <f t="shared" si="1"/>
        <v>0</v>
      </c>
      <c r="P14" s="651">
        <v>0</v>
      </c>
      <c r="Q14" s="651">
        <v>0</v>
      </c>
      <c r="R14" s="645"/>
      <c r="S14" s="652"/>
    </row>
    <row r="15" spans="1:19" ht="17.25" customHeight="1" thickTop="1" thickBot="1">
      <c r="A15" s="632"/>
      <c r="B15" s="799" t="s">
        <v>293</v>
      </c>
      <c r="C15" s="653"/>
      <c r="D15" s="653"/>
      <c r="E15" s="653"/>
      <c r="F15" s="654"/>
      <c r="G15" s="654"/>
      <c r="H15" s="654"/>
      <c r="I15" s="654"/>
      <c r="J15" s="654"/>
      <c r="K15" s="654"/>
      <c r="L15" s="654"/>
      <c r="M15" s="654"/>
      <c r="N15" s="654"/>
      <c r="O15" s="655">
        <f>O16+O18+O21+O23+O25+O27+O29</f>
        <v>304692.98870300001</v>
      </c>
      <c r="P15" s="656">
        <f>P16+P18+P21+P23+P25+P27+P29</f>
        <v>52269.7</v>
      </c>
      <c r="Q15" s="656">
        <f>Q16+Q18+Q21+Q23+Q25+Q27+Q29+Q31+Q34+Q37+Q39+Q42</f>
        <v>111667.2</v>
      </c>
      <c r="R15" s="645">
        <f>O15-P15-Q15</f>
        <v>140756.08870299999</v>
      </c>
      <c r="S15" s="652"/>
    </row>
    <row r="16" spans="1:19" ht="18">
      <c r="A16" s="632">
        <v>2</v>
      </c>
      <c r="B16" s="800" t="s">
        <v>236</v>
      </c>
      <c r="C16" s="657"/>
      <c r="D16" s="657"/>
      <c r="E16" s="657"/>
      <c r="F16" s="658"/>
      <c r="G16" s="658"/>
      <c r="H16" s="659"/>
      <c r="I16" s="658"/>
      <c r="J16" s="658"/>
      <c r="K16" s="659"/>
      <c r="L16" s="658"/>
      <c r="M16" s="658"/>
      <c r="N16" s="659"/>
      <c r="O16" s="658">
        <f>O17</f>
        <v>208412.13134600001</v>
      </c>
      <c r="P16" s="660">
        <v>0</v>
      </c>
      <c r="Q16" s="660">
        <v>29757</v>
      </c>
      <c r="R16" s="645">
        <f>O16-P16-Q16</f>
        <v>178655.13134600001</v>
      </c>
      <c r="S16" s="661">
        <f>R16</f>
        <v>178655.13134600001</v>
      </c>
    </row>
    <row r="17" spans="1:37" ht="18">
      <c r="A17" s="632"/>
      <c r="B17" s="801" t="s">
        <v>239</v>
      </c>
      <c r="C17" s="662">
        <v>70</v>
      </c>
      <c r="D17" s="662">
        <v>69</v>
      </c>
      <c r="E17" s="662">
        <v>100</v>
      </c>
      <c r="F17" s="663">
        <v>1979.2322999999999</v>
      </c>
      <c r="G17" s="663">
        <v>5816.5684000000001</v>
      </c>
      <c r="H17" s="664">
        <v>2152.9</v>
      </c>
      <c r="I17" s="663">
        <v>84014.182400000005</v>
      </c>
      <c r="J17" s="663">
        <v>112355.5</v>
      </c>
      <c r="K17" s="663">
        <v>95584</v>
      </c>
      <c r="L17" s="665">
        <v>0</v>
      </c>
      <c r="M17" s="665">
        <v>0</v>
      </c>
      <c r="N17" s="663">
        <v>0</v>
      </c>
      <c r="O17" s="665">
        <f>SUM(F17:H17)*C17/100+SUM(I17:K17)*D17/100+SUM(L17:N17)*E17/100</f>
        <v>208412.13134600001</v>
      </c>
      <c r="P17" s="666"/>
      <c r="Q17" s="666"/>
      <c r="R17" s="645"/>
      <c r="S17" s="652"/>
    </row>
    <row r="18" spans="1:37" ht="18">
      <c r="A18" s="632">
        <v>3</v>
      </c>
      <c r="B18" s="802" t="s">
        <v>237</v>
      </c>
      <c r="C18" s="657"/>
      <c r="D18" s="657"/>
      <c r="E18" s="657"/>
      <c r="F18" s="659"/>
      <c r="G18" s="659"/>
      <c r="H18" s="659"/>
      <c r="I18" s="659"/>
      <c r="J18" s="659"/>
      <c r="K18" s="659"/>
      <c r="L18" s="659"/>
      <c r="M18" s="658"/>
      <c r="N18" s="659"/>
      <c r="O18" s="658">
        <f>O19+O20</f>
        <v>5476.7547920000006</v>
      </c>
      <c r="P18" s="660">
        <v>4588.2</v>
      </c>
      <c r="Q18" s="660">
        <v>0</v>
      </c>
      <c r="R18" s="645">
        <f>O18-P18-Q18</f>
        <v>888.55479200000082</v>
      </c>
      <c r="S18" s="661">
        <f>R18</f>
        <v>888.55479200000082</v>
      </c>
    </row>
    <row r="19" spans="1:37" s="396" customFormat="1" ht="18">
      <c r="A19" s="667"/>
      <c r="B19" s="815" t="s">
        <v>355</v>
      </c>
      <c r="C19" s="816">
        <v>57</v>
      </c>
      <c r="D19" s="816">
        <v>100</v>
      </c>
      <c r="E19" s="816">
        <v>40</v>
      </c>
      <c r="F19" s="817">
        <v>3744.2750000000001</v>
      </c>
      <c r="G19" s="817">
        <v>2995.3</v>
      </c>
      <c r="H19" s="817">
        <v>1073.3</v>
      </c>
      <c r="I19" s="818">
        <v>35.393999999999998</v>
      </c>
      <c r="J19" s="817">
        <v>30.1</v>
      </c>
      <c r="K19" s="817">
        <v>361</v>
      </c>
      <c r="L19" s="819">
        <v>0</v>
      </c>
      <c r="M19" s="819">
        <v>0</v>
      </c>
      <c r="N19" s="816">
        <v>0</v>
      </c>
      <c r="O19" s="820">
        <f>SUM(F19:H19)*C19/100+SUM(I19:K19)*D19/100+SUM(L19:N19)*E19/100</f>
        <v>4879.8327500000005</v>
      </c>
      <c r="P19" s="671"/>
      <c r="Q19" s="671"/>
      <c r="R19" s="645"/>
      <c r="S19" s="672"/>
    </row>
    <row r="20" spans="1:37" s="396" customFormat="1" ht="23.25" customHeight="1">
      <c r="A20" s="667"/>
      <c r="B20" s="803" t="s">
        <v>239</v>
      </c>
      <c r="C20" s="668">
        <v>6</v>
      </c>
      <c r="D20" s="668">
        <v>0</v>
      </c>
      <c r="E20" s="668">
        <v>0</v>
      </c>
      <c r="F20" s="663">
        <v>1979.2322999999999</v>
      </c>
      <c r="G20" s="663">
        <v>5816.5684000000001</v>
      </c>
      <c r="H20" s="664">
        <v>2152.9</v>
      </c>
      <c r="I20" s="663">
        <v>84014.182400000005</v>
      </c>
      <c r="J20" s="663">
        <v>112355.5</v>
      </c>
      <c r="K20" s="663">
        <v>95584</v>
      </c>
      <c r="L20" s="673">
        <v>0</v>
      </c>
      <c r="M20" s="673">
        <v>0</v>
      </c>
      <c r="N20" s="664">
        <v>0</v>
      </c>
      <c r="O20" s="665">
        <f>SUM(F20:H20)*C20/100+SUM(I20:K20)*D20/100+SUM(L20:N20)*E20/100</f>
        <v>596.92204199999992</v>
      </c>
      <c r="P20" s="671"/>
      <c r="Q20" s="671"/>
      <c r="R20" s="645"/>
      <c r="S20" s="672"/>
    </row>
    <row r="21" spans="1:37" s="396" customFormat="1" ht="18">
      <c r="A21" s="667">
        <v>4</v>
      </c>
      <c r="B21" s="804" t="s">
        <v>238</v>
      </c>
      <c r="C21" s="674"/>
      <c r="D21" s="674"/>
      <c r="E21" s="674"/>
      <c r="F21" s="675"/>
      <c r="G21" s="675"/>
      <c r="H21" s="675"/>
      <c r="I21" s="675"/>
      <c r="J21" s="675"/>
      <c r="K21" s="675"/>
      <c r="L21" s="675"/>
      <c r="M21" s="675"/>
      <c r="N21" s="675"/>
      <c r="O21" s="676">
        <f>O22</f>
        <v>26275.831415999997</v>
      </c>
      <c r="P21" s="677">
        <v>0</v>
      </c>
      <c r="Q21" s="677">
        <v>24903.200000000001</v>
      </c>
      <c r="R21" s="645">
        <f>O21-P21-Q21</f>
        <v>1372.6314159999965</v>
      </c>
      <c r="S21" s="678">
        <f>R21</f>
        <v>1372.6314159999965</v>
      </c>
    </row>
    <row r="22" spans="1:37" s="396" customFormat="1" ht="18">
      <c r="A22" s="667"/>
      <c r="B22" s="803" t="s">
        <v>239</v>
      </c>
      <c r="C22" s="668">
        <v>0</v>
      </c>
      <c r="D22" s="668">
        <v>9</v>
      </c>
      <c r="E22" s="668">
        <v>0</v>
      </c>
      <c r="F22" s="673">
        <v>1979.2322999999999</v>
      </c>
      <c r="G22" s="664">
        <v>5816.5684000000001</v>
      </c>
      <c r="H22" s="664">
        <v>2152.9</v>
      </c>
      <c r="I22" s="673">
        <v>84014.182400000005</v>
      </c>
      <c r="J22" s="664">
        <v>112355.5</v>
      </c>
      <c r="K22" s="663">
        <v>95584</v>
      </c>
      <c r="L22" s="673">
        <v>0</v>
      </c>
      <c r="M22" s="673">
        <v>0</v>
      </c>
      <c r="N22" s="664">
        <v>0</v>
      </c>
      <c r="O22" s="665">
        <f>SUM(F22:H22)*C22/100+SUM(I22:K22)*D22/100+SUM(L22:N22)*E22/100</f>
        <v>26275.831415999997</v>
      </c>
      <c r="P22" s="671"/>
      <c r="Q22" s="671"/>
      <c r="R22" s="645"/>
      <c r="S22" s="672"/>
    </row>
    <row r="23" spans="1:37" s="396" customFormat="1" ht="18">
      <c r="A23" s="667">
        <v>5</v>
      </c>
      <c r="B23" s="804" t="s">
        <v>240</v>
      </c>
      <c r="C23" s="674"/>
      <c r="D23" s="674"/>
      <c r="E23" s="674"/>
      <c r="F23" s="675"/>
      <c r="G23" s="675"/>
      <c r="H23" s="675"/>
      <c r="I23" s="675"/>
      <c r="J23" s="675"/>
      <c r="K23" s="675"/>
      <c r="L23" s="675"/>
      <c r="M23" s="675"/>
      <c r="N23" s="675"/>
      <c r="O23" s="676">
        <f>O24</f>
        <v>9057.0714929999976</v>
      </c>
      <c r="P23" s="677">
        <v>0</v>
      </c>
      <c r="Q23" s="677">
        <v>3155.4</v>
      </c>
      <c r="R23" s="645">
        <f>O23-P23-Q23</f>
        <v>5901.671492999998</v>
      </c>
      <c r="S23" s="678">
        <f>R23</f>
        <v>5901.671492999998</v>
      </c>
    </row>
    <row r="24" spans="1:37" s="396" customFormat="1" ht="18">
      <c r="A24" s="667"/>
      <c r="B24" s="803" t="s">
        <v>239</v>
      </c>
      <c r="C24" s="668">
        <v>3</v>
      </c>
      <c r="D24" s="668">
        <v>3</v>
      </c>
      <c r="E24" s="668">
        <v>0</v>
      </c>
      <c r="F24" s="673">
        <v>1979.2322999999999</v>
      </c>
      <c r="G24" s="664">
        <v>5816.5684000000001</v>
      </c>
      <c r="H24" s="664">
        <v>2152.9</v>
      </c>
      <c r="I24" s="665">
        <v>84014.182400000005</v>
      </c>
      <c r="J24" s="664">
        <v>112355.5</v>
      </c>
      <c r="K24" s="663">
        <v>95584</v>
      </c>
      <c r="L24" s="673">
        <v>0</v>
      </c>
      <c r="M24" s="673">
        <v>0</v>
      </c>
      <c r="N24" s="664">
        <v>0</v>
      </c>
      <c r="O24" s="665">
        <f>SUM(F24:H24)*C24/100+SUM(I24:K24)*D24/100+SUM(L24:N24)*E24/100</f>
        <v>9057.0714929999976</v>
      </c>
      <c r="P24" s="671"/>
      <c r="Q24" s="671"/>
      <c r="R24" s="645"/>
      <c r="S24" s="672"/>
    </row>
    <row r="25" spans="1:37" s="396" customFormat="1" ht="18">
      <c r="A25" s="667">
        <v>6</v>
      </c>
      <c r="B25" s="821" t="s">
        <v>241</v>
      </c>
      <c r="C25" s="674"/>
      <c r="D25" s="674"/>
      <c r="E25" s="674"/>
      <c r="F25" s="675"/>
      <c r="G25" s="675"/>
      <c r="H25" s="675"/>
      <c r="I25" s="675"/>
      <c r="J25" s="675"/>
      <c r="K25" s="675"/>
      <c r="L25" s="675"/>
      <c r="M25" s="675"/>
      <c r="N25" s="675"/>
      <c r="O25" s="676">
        <f>O26</f>
        <v>49632.126007999999</v>
      </c>
      <c r="P25" s="677">
        <v>47681.5</v>
      </c>
      <c r="Q25" s="677">
        <v>19806.2</v>
      </c>
      <c r="R25" s="645">
        <f>O25-P25-Q25</f>
        <v>-17855.573992000001</v>
      </c>
      <c r="S25" s="678"/>
    </row>
    <row r="26" spans="1:37" s="396" customFormat="1" ht="18">
      <c r="A26" s="667"/>
      <c r="B26" s="822" t="s">
        <v>239</v>
      </c>
      <c r="C26" s="668">
        <v>0</v>
      </c>
      <c r="D26" s="668">
        <v>17</v>
      </c>
      <c r="E26" s="668">
        <v>0</v>
      </c>
      <c r="F26" s="673">
        <v>1979.2322999999999</v>
      </c>
      <c r="G26" s="664">
        <v>5816.5684000000001</v>
      </c>
      <c r="H26" s="664">
        <v>2152.9</v>
      </c>
      <c r="I26" s="665">
        <v>84014.182400000005</v>
      </c>
      <c r="J26" s="664">
        <v>112355.5</v>
      </c>
      <c r="K26" s="663">
        <v>95584</v>
      </c>
      <c r="L26" s="673">
        <v>0</v>
      </c>
      <c r="M26" s="673">
        <v>0</v>
      </c>
      <c r="N26" s="664">
        <v>0</v>
      </c>
      <c r="O26" s="665">
        <f>SUM(F26:H26)*C26/100+SUM(I26:K26)*D26/100+SUM(L26:N26)*E26/100</f>
        <v>49632.126007999999</v>
      </c>
      <c r="P26" s="671"/>
      <c r="Q26" s="671"/>
      <c r="R26" s="645"/>
      <c r="S26" s="672"/>
    </row>
    <row r="27" spans="1:37" s="396" customFormat="1" ht="18">
      <c r="A27" s="667">
        <v>7</v>
      </c>
      <c r="B27" s="821" t="s">
        <v>294</v>
      </c>
      <c r="C27" s="674"/>
      <c r="D27" s="674"/>
      <c r="E27" s="674"/>
      <c r="F27" s="675"/>
      <c r="G27" s="675"/>
      <c r="H27" s="675"/>
      <c r="I27" s="675"/>
      <c r="J27" s="675"/>
      <c r="K27" s="675"/>
      <c r="L27" s="675"/>
      <c r="M27" s="675"/>
      <c r="N27" s="675"/>
      <c r="O27" s="676">
        <f>O28</f>
        <v>5839.0736479999996</v>
      </c>
      <c r="P27" s="677">
        <v>0</v>
      </c>
      <c r="Q27" s="677">
        <v>30051.1</v>
      </c>
      <c r="R27" s="645">
        <f>O27-P27-Q27</f>
        <v>-24212.026352000001</v>
      </c>
      <c r="S27" s="678"/>
    </row>
    <row r="28" spans="1:37" s="396" customFormat="1" ht="18">
      <c r="A28" s="667"/>
      <c r="B28" s="822" t="s">
        <v>239</v>
      </c>
      <c r="C28" s="668">
        <v>0</v>
      </c>
      <c r="D28" s="668">
        <v>2</v>
      </c>
      <c r="E28" s="668">
        <v>0</v>
      </c>
      <c r="F28" s="673">
        <v>1979.2322999999999</v>
      </c>
      <c r="G28" s="664">
        <v>5816.5684000000001</v>
      </c>
      <c r="H28" s="664">
        <v>2152.9</v>
      </c>
      <c r="I28" s="665">
        <v>84014.182400000005</v>
      </c>
      <c r="J28" s="664">
        <v>112355.5</v>
      </c>
      <c r="K28" s="663">
        <v>95584</v>
      </c>
      <c r="L28" s="673">
        <v>0</v>
      </c>
      <c r="M28" s="673">
        <v>0</v>
      </c>
      <c r="N28" s="664">
        <v>0</v>
      </c>
      <c r="O28" s="665">
        <f>SUM(F28:H28)*C28/100+SUM(I28:K28)*D28/100+SUM(L28:N28)*E28/100</f>
        <v>5839.0736479999996</v>
      </c>
      <c r="P28" s="671"/>
      <c r="Q28" s="671"/>
      <c r="R28" s="645"/>
      <c r="S28" s="672"/>
    </row>
    <row r="29" spans="1:37" s="396" customFormat="1" ht="18">
      <c r="A29" s="667">
        <v>8</v>
      </c>
      <c r="B29" s="821" t="s">
        <v>242</v>
      </c>
      <c r="C29" s="674"/>
      <c r="D29" s="674"/>
      <c r="E29" s="674"/>
      <c r="F29" s="675"/>
      <c r="G29" s="675"/>
      <c r="H29" s="675"/>
      <c r="I29" s="675"/>
      <c r="J29" s="675"/>
      <c r="K29" s="675"/>
      <c r="L29" s="675"/>
      <c r="M29" s="675"/>
      <c r="N29" s="675"/>
      <c r="O29" s="676">
        <f>O30</f>
        <v>0</v>
      </c>
      <c r="P29" s="677">
        <v>0</v>
      </c>
      <c r="Q29" s="677">
        <v>0</v>
      </c>
      <c r="R29" s="645">
        <f>O29-P29-Q29</f>
        <v>0</v>
      </c>
      <c r="S29" s="678">
        <f>R29</f>
        <v>0</v>
      </c>
    </row>
    <row r="30" spans="1:37" s="396" customFormat="1" ht="18">
      <c r="A30" s="667"/>
      <c r="B30" s="823" t="s">
        <v>355</v>
      </c>
      <c r="C30" s="816">
        <v>0</v>
      </c>
      <c r="D30" s="816">
        <v>0</v>
      </c>
      <c r="E30" s="816">
        <v>30</v>
      </c>
      <c r="F30" s="818">
        <v>3744.2750000000001</v>
      </c>
      <c r="G30" s="817">
        <v>2995.3</v>
      </c>
      <c r="H30" s="817">
        <v>1073.3</v>
      </c>
      <c r="I30" s="818">
        <v>35.393999999999998</v>
      </c>
      <c r="J30" s="817">
        <v>30.1</v>
      </c>
      <c r="K30" s="817">
        <v>361</v>
      </c>
      <c r="L30" s="818">
        <v>0</v>
      </c>
      <c r="M30" s="818">
        <v>0</v>
      </c>
      <c r="N30" s="817">
        <v>0</v>
      </c>
      <c r="O30" s="820">
        <f>SUM(F30:H30)*C30/100+SUM(I30:K30)*D30/100+SUM(L30:N30)*E30/100</f>
        <v>0</v>
      </c>
      <c r="P30" s="671"/>
      <c r="Q30" s="671"/>
      <c r="R30" s="645"/>
      <c r="S30" s="672"/>
    </row>
    <row r="31" spans="1:37" s="396" customFormat="1" ht="18">
      <c r="A31" s="667">
        <v>9</v>
      </c>
      <c r="B31" s="821" t="s">
        <v>243</v>
      </c>
      <c r="C31" s="674"/>
      <c r="D31" s="674"/>
      <c r="E31" s="674"/>
      <c r="F31" s="675"/>
      <c r="G31" s="675"/>
      <c r="H31" s="675"/>
      <c r="I31" s="675"/>
      <c r="J31" s="675"/>
      <c r="K31" s="675"/>
      <c r="L31" s="675"/>
      <c r="M31" s="675"/>
      <c r="N31" s="675"/>
      <c r="O31" s="676">
        <f>O32+O33</f>
        <v>344.55238550000001</v>
      </c>
      <c r="P31" s="677">
        <v>0</v>
      </c>
      <c r="Q31" s="677">
        <v>682.3</v>
      </c>
      <c r="R31" s="645">
        <f>O31-P31-Q31</f>
        <v>-337.74761449999994</v>
      </c>
      <c r="S31" s="678"/>
      <c r="U31" s="855"/>
      <c r="V31" s="855"/>
      <c r="W31" s="855"/>
      <c r="X31" s="855"/>
      <c r="Y31" s="855"/>
      <c r="Z31" s="855"/>
      <c r="AA31" s="855"/>
      <c r="AB31" s="855"/>
      <c r="AC31" s="855"/>
      <c r="AD31" s="855"/>
      <c r="AE31" s="855"/>
      <c r="AF31" s="855"/>
      <c r="AG31" s="855"/>
      <c r="AH31" s="855"/>
      <c r="AI31" s="855"/>
      <c r="AJ31" s="855"/>
      <c r="AK31" s="855"/>
    </row>
    <row r="32" spans="1:37" s="396" customFormat="1" ht="27.75" customHeight="1">
      <c r="A32" s="667"/>
      <c r="B32" s="822" t="s">
        <v>239</v>
      </c>
      <c r="C32" s="668">
        <v>1.5</v>
      </c>
      <c r="D32" s="668">
        <v>0</v>
      </c>
      <c r="E32" s="668">
        <v>30</v>
      </c>
      <c r="F32" s="673">
        <v>1979.2322999999999</v>
      </c>
      <c r="G32" s="664">
        <v>5816.5684000000001</v>
      </c>
      <c r="H32" s="664">
        <v>2152.9</v>
      </c>
      <c r="I32" s="673">
        <v>84014.182400000005</v>
      </c>
      <c r="J32" s="669">
        <v>112355.49</v>
      </c>
      <c r="K32" s="663">
        <v>95584</v>
      </c>
      <c r="L32" s="673">
        <v>0</v>
      </c>
      <c r="M32" s="673">
        <v>0</v>
      </c>
      <c r="N32" s="664">
        <v>0</v>
      </c>
      <c r="O32" s="665">
        <f>SUM(F32:H32)*C32/100+SUM(I32:K32)*D32/100+SUM(L32:N32)*E32/100</f>
        <v>149.23051049999998</v>
      </c>
      <c r="P32" s="671"/>
      <c r="Q32" s="671"/>
      <c r="R32" s="645"/>
      <c r="S32" s="672"/>
      <c r="U32" s="855"/>
      <c r="V32" s="855"/>
      <c r="W32" s="855"/>
      <c r="X32" s="855"/>
      <c r="Y32" s="855"/>
      <c r="Z32" s="855"/>
      <c r="AA32" s="855"/>
      <c r="AB32" s="855"/>
      <c r="AC32" s="855"/>
      <c r="AD32" s="855"/>
      <c r="AE32" s="855"/>
      <c r="AF32" s="855"/>
      <c r="AG32" s="855"/>
      <c r="AH32" s="855"/>
      <c r="AI32" s="855"/>
      <c r="AJ32" s="855"/>
      <c r="AK32" s="855"/>
    </row>
    <row r="33" spans="1:37" s="396" customFormat="1" ht="18">
      <c r="A33" s="667"/>
      <c r="B33" s="823" t="s">
        <v>355</v>
      </c>
      <c r="C33" s="816">
        <v>2.5</v>
      </c>
      <c r="D33" s="816">
        <v>0</v>
      </c>
      <c r="E33" s="816">
        <v>30</v>
      </c>
      <c r="F33" s="818">
        <v>3744.2750000000001</v>
      </c>
      <c r="G33" s="817">
        <v>2995.3</v>
      </c>
      <c r="H33" s="817">
        <v>1073.3</v>
      </c>
      <c r="I33" s="818">
        <v>35.393999999999998</v>
      </c>
      <c r="J33" s="817">
        <v>30.1</v>
      </c>
      <c r="K33" s="817">
        <v>361</v>
      </c>
      <c r="L33" s="818">
        <v>0</v>
      </c>
      <c r="M33" s="818">
        <v>0</v>
      </c>
      <c r="N33" s="817">
        <v>0</v>
      </c>
      <c r="O33" s="820">
        <f>SUM(F33:H33)*C33/100+SUM(I33:K33)*D33/100+SUM(L33:N33)*E33/100</f>
        <v>195.32187500000003</v>
      </c>
      <c r="P33" s="671"/>
      <c r="Q33" s="671"/>
      <c r="R33" s="645"/>
      <c r="S33" s="672"/>
      <c r="U33" s="855"/>
      <c r="V33" s="855"/>
      <c r="W33" s="855"/>
      <c r="X33" s="855"/>
      <c r="Y33" s="855"/>
      <c r="Z33" s="855"/>
      <c r="AA33" s="855"/>
      <c r="AB33" s="855"/>
      <c r="AC33" s="855"/>
      <c r="AD33" s="855"/>
      <c r="AE33" s="855"/>
      <c r="AF33" s="855"/>
      <c r="AG33" s="855"/>
      <c r="AH33" s="855"/>
      <c r="AI33" s="855"/>
      <c r="AJ33" s="855"/>
      <c r="AK33" s="855"/>
    </row>
    <row r="34" spans="1:37" s="397" customFormat="1" ht="18">
      <c r="A34" s="679"/>
      <c r="B34" s="824" t="s">
        <v>295</v>
      </c>
      <c r="C34" s="657"/>
      <c r="D34" s="657"/>
      <c r="E34" s="657"/>
      <c r="F34" s="680"/>
      <c r="G34" s="680"/>
      <c r="H34" s="675"/>
      <c r="I34" s="680"/>
      <c r="J34" s="680"/>
      <c r="K34" s="681"/>
      <c r="L34" s="680"/>
      <c r="M34" s="680"/>
      <c r="N34" s="681"/>
      <c r="O34" s="658">
        <f>SUM(O35:O36)</f>
        <v>777.91264950000004</v>
      </c>
      <c r="P34" s="660">
        <v>0</v>
      </c>
      <c r="Q34" s="660">
        <v>1192</v>
      </c>
      <c r="R34" s="645">
        <f>O34-P34-Q34</f>
        <v>-414.08735049999996</v>
      </c>
      <c r="S34" s="661"/>
      <c r="T34" s="28"/>
      <c r="U34" s="856"/>
      <c r="V34" s="856"/>
      <c r="W34" s="856"/>
      <c r="X34" s="856"/>
      <c r="Y34" s="856"/>
      <c r="Z34" s="856"/>
      <c r="AA34" s="856"/>
      <c r="AB34" s="856"/>
      <c r="AC34" s="856"/>
      <c r="AD34" s="856"/>
      <c r="AE34" s="856"/>
      <c r="AF34" s="856"/>
      <c r="AG34" s="856"/>
      <c r="AH34" s="856"/>
      <c r="AI34" s="856"/>
      <c r="AJ34" s="856"/>
      <c r="AK34" s="856"/>
    </row>
    <row r="35" spans="1:37" ht="18">
      <c r="A35" s="632"/>
      <c r="B35" s="825" t="s">
        <v>239</v>
      </c>
      <c r="C35" s="662">
        <v>3.5</v>
      </c>
      <c r="D35" s="662">
        <v>0</v>
      </c>
      <c r="E35" s="662">
        <v>0</v>
      </c>
      <c r="F35" s="673">
        <v>1979.2322999999999</v>
      </c>
      <c r="G35" s="664">
        <v>5816.5684000000001</v>
      </c>
      <c r="H35" s="664">
        <v>2152.9</v>
      </c>
      <c r="I35" s="673">
        <v>84014.182400000005</v>
      </c>
      <c r="J35" s="669">
        <v>112355.49</v>
      </c>
      <c r="K35" s="663">
        <v>95584</v>
      </c>
      <c r="L35" s="673">
        <v>0</v>
      </c>
      <c r="M35" s="673">
        <v>0</v>
      </c>
      <c r="N35" s="664">
        <v>0</v>
      </c>
      <c r="O35" s="665">
        <f>SUM(F35:H35)*C35/100+SUM(I35:K35)*D35/100+SUM(L35:N35)*E35/100</f>
        <v>348.20452449999999</v>
      </c>
      <c r="P35" s="682"/>
      <c r="Q35" s="682"/>
      <c r="R35" s="645"/>
      <c r="S35" s="683"/>
      <c r="T35" s="28"/>
      <c r="U35" s="856"/>
      <c r="V35" s="856"/>
      <c r="W35" s="856"/>
      <c r="X35" s="856"/>
      <c r="Y35" s="856"/>
      <c r="Z35" s="856"/>
      <c r="AA35" s="856"/>
      <c r="AB35" s="856"/>
      <c r="AC35" s="856"/>
      <c r="AD35" s="856"/>
      <c r="AE35" s="856"/>
      <c r="AF35" s="856"/>
      <c r="AG35" s="856"/>
      <c r="AH35" s="856"/>
      <c r="AI35" s="856"/>
      <c r="AJ35" s="856"/>
      <c r="AK35" s="856"/>
    </row>
    <row r="36" spans="1:37" ht="18">
      <c r="A36" s="632"/>
      <c r="B36" s="823" t="s">
        <v>355</v>
      </c>
      <c r="C36" s="816">
        <v>5.5</v>
      </c>
      <c r="D36" s="816">
        <v>0</v>
      </c>
      <c r="E36" s="816">
        <v>0</v>
      </c>
      <c r="F36" s="818">
        <v>3744.2750000000001</v>
      </c>
      <c r="G36" s="817">
        <v>2995.3</v>
      </c>
      <c r="H36" s="817">
        <v>1073.3</v>
      </c>
      <c r="I36" s="818">
        <v>35.393999999999998</v>
      </c>
      <c r="J36" s="817">
        <v>30.146000000000001</v>
      </c>
      <c r="K36" s="817">
        <v>361</v>
      </c>
      <c r="L36" s="818">
        <v>0</v>
      </c>
      <c r="M36" s="818">
        <v>0</v>
      </c>
      <c r="N36" s="817">
        <v>0</v>
      </c>
      <c r="O36" s="820">
        <f>SUM(F36:H36)*C36/100+SUM(I36:K36)*D36/100+SUM(L36:N36)*E36/100</f>
        <v>429.70812500000005</v>
      </c>
      <c r="P36" s="682"/>
      <c r="Q36" s="682"/>
      <c r="R36" s="645"/>
      <c r="S36" s="683"/>
      <c r="T36" s="28"/>
      <c r="U36" s="856"/>
      <c r="V36" s="856"/>
      <c r="W36" s="856"/>
      <c r="X36" s="856"/>
      <c r="Y36" s="856"/>
      <c r="Z36" s="856"/>
      <c r="AA36" s="856"/>
      <c r="AB36" s="856"/>
      <c r="AC36" s="856"/>
      <c r="AD36" s="856"/>
      <c r="AE36" s="856"/>
      <c r="AF36" s="856"/>
      <c r="AG36" s="856"/>
      <c r="AH36" s="856"/>
      <c r="AI36" s="856"/>
      <c r="AJ36" s="856"/>
      <c r="AK36" s="856"/>
    </row>
    <row r="37" spans="1:37" s="399" customFormat="1" ht="18.600000000000001">
      <c r="A37" s="684"/>
      <c r="B37" s="824" t="s">
        <v>296</v>
      </c>
      <c r="C37" s="685"/>
      <c r="D37" s="685"/>
      <c r="E37" s="685"/>
      <c r="F37" s="686"/>
      <c r="G37" s="686"/>
      <c r="H37" s="687"/>
      <c r="I37" s="686"/>
      <c r="J37" s="686"/>
      <c r="K37" s="688"/>
      <c r="L37" s="686"/>
      <c r="M37" s="686"/>
      <c r="N37" s="688"/>
      <c r="O37" s="658">
        <f>SUM(O38)</f>
        <v>0</v>
      </c>
      <c r="P37" s="660">
        <v>0</v>
      </c>
      <c r="Q37" s="660">
        <v>0</v>
      </c>
      <c r="R37" s="645">
        <f>O37-P37-Q37</f>
        <v>0</v>
      </c>
      <c r="S37" s="661">
        <f>R37</f>
        <v>0</v>
      </c>
      <c r="T37" s="398"/>
      <c r="U37" s="857"/>
      <c r="V37" s="857"/>
      <c r="W37" s="857"/>
      <c r="X37" s="857"/>
      <c r="Y37" s="857"/>
      <c r="Z37" s="857"/>
      <c r="AA37" s="857"/>
      <c r="AB37" s="857"/>
      <c r="AC37" s="857"/>
      <c r="AD37" s="857"/>
      <c r="AE37" s="857"/>
      <c r="AF37" s="857"/>
      <c r="AG37" s="857"/>
      <c r="AH37" s="857"/>
      <c r="AI37" s="857"/>
      <c r="AJ37" s="857"/>
      <c r="AK37" s="857"/>
    </row>
    <row r="38" spans="1:37" ht="18">
      <c r="A38" s="632"/>
      <c r="B38" s="825" t="s">
        <v>239</v>
      </c>
      <c r="C38" s="662">
        <v>0</v>
      </c>
      <c r="D38" s="662">
        <v>0</v>
      </c>
      <c r="E38" s="662">
        <v>0</v>
      </c>
      <c r="F38" s="673">
        <v>1979.2322999999999</v>
      </c>
      <c r="G38" s="664">
        <v>5816.5684000000001</v>
      </c>
      <c r="H38" s="664">
        <v>2152.9</v>
      </c>
      <c r="I38" s="673">
        <v>84014.182400000005</v>
      </c>
      <c r="J38" s="669">
        <v>112355.49</v>
      </c>
      <c r="K38" s="663">
        <v>95584</v>
      </c>
      <c r="L38" s="673">
        <v>0</v>
      </c>
      <c r="M38" s="673">
        <v>0</v>
      </c>
      <c r="N38" s="664">
        <v>0</v>
      </c>
      <c r="O38" s="665">
        <f>SUM(F38:H38)*C38/100+SUM(I38:K38)*D38/100+SUM(L38:N38)*E38/100</f>
        <v>0</v>
      </c>
      <c r="P38" s="682"/>
      <c r="Q38" s="682"/>
      <c r="R38" s="645"/>
      <c r="S38" s="683"/>
      <c r="T38" s="28"/>
      <c r="U38" s="856"/>
      <c r="V38" s="856"/>
      <c r="W38" s="856"/>
      <c r="X38" s="856"/>
      <c r="Y38" s="856"/>
      <c r="Z38" s="856"/>
      <c r="AA38" s="856"/>
      <c r="AB38" s="856"/>
      <c r="AC38" s="856"/>
      <c r="AD38" s="856"/>
      <c r="AE38" s="856"/>
      <c r="AF38" s="856"/>
      <c r="AG38" s="856"/>
      <c r="AH38" s="856"/>
      <c r="AI38" s="856"/>
      <c r="AJ38" s="856"/>
      <c r="AK38" s="856"/>
    </row>
    <row r="39" spans="1:37" s="399" customFormat="1" ht="18.600000000000001">
      <c r="A39" s="684"/>
      <c r="B39" s="824" t="s">
        <v>297</v>
      </c>
      <c r="C39" s="685"/>
      <c r="D39" s="685"/>
      <c r="E39" s="685"/>
      <c r="F39" s="686"/>
      <c r="G39" s="686"/>
      <c r="H39" s="687"/>
      <c r="I39" s="686"/>
      <c r="J39" s="686"/>
      <c r="K39" s="688"/>
      <c r="L39" s="686"/>
      <c r="M39" s="686"/>
      <c r="N39" s="688"/>
      <c r="O39" s="658">
        <f>SUM(O40+O41)</f>
        <v>0</v>
      </c>
      <c r="P39" s="660">
        <v>0</v>
      </c>
      <c r="Q39" s="660">
        <v>0</v>
      </c>
      <c r="R39" s="645">
        <f>O39-P39-Q39</f>
        <v>0</v>
      </c>
      <c r="S39" s="661">
        <f>R39</f>
        <v>0</v>
      </c>
      <c r="T39" s="398"/>
      <c r="U39" s="857"/>
      <c r="V39" s="857"/>
      <c r="W39" s="857"/>
      <c r="X39" s="857"/>
      <c r="Y39" s="857"/>
      <c r="Z39" s="857"/>
      <c r="AA39" s="857"/>
      <c r="AB39" s="857"/>
      <c r="AC39" s="857"/>
      <c r="AD39" s="857"/>
      <c r="AE39" s="857"/>
      <c r="AF39" s="857"/>
      <c r="AG39" s="857"/>
      <c r="AH39" s="857"/>
      <c r="AI39" s="857"/>
      <c r="AJ39" s="857"/>
      <c r="AK39" s="857"/>
    </row>
    <row r="40" spans="1:37" s="400" customFormat="1" ht="18">
      <c r="A40" s="689"/>
      <c r="B40" s="825" t="s">
        <v>239</v>
      </c>
      <c r="C40" s="662">
        <v>0</v>
      </c>
      <c r="D40" s="662">
        <v>0</v>
      </c>
      <c r="E40" s="662">
        <v>0</v>
      </c>
      <c r="F40" s="673">
        <v>1979.2322999999999</v>
      </c>
      <c r="G40" s="664">
        <v>5816.5684000000001</v>
      </c>
      <c r="H40" s="664">
        <v>2152.9</v>
      </c>
      <c r="I40" s="673">
        <v>84014.182400000005</v>
      </c>
      <c r="J40" s="669">
        <v>112355.49</v>
      </c>
      <c r="K40" s="663">
        <v>95584</v>
      </c>
      <c r="L40" s="673">
        <v>0</v>
      </c>
      <c r="M40" s="673">
        <v>0</v>
      </c>
      <c r="N40" s="664">
        <v>0</v>
      </c>
      <c r="O40" s="665">
        <f>SUM(F40:H40)*C40/100+SUM(I40:K40)*D40/100+SUM(L40:N40)*E40/100</f>
        <v>0</v>
      </c>
      <c r="P40" s="682"/>
      <c r="Q40" s="682"/>
      <c r="R40" s="645"/>
      <c r="S40" s="683"/>
      <c r="T40" s="28"/>
      <c r="U40" s="856"/>
      <c r="V40" s="856"/>
      <c r="W40" s="856"/>
      <c r="X40" s="856"/>
      <c r="Y40" s="856"/>
      <c r="Z40" s="856"/>
      <c r="AA40" s="856"/>
      <c r="AB40" s="856"/>
      <c r="AC40" s="856"/>
      <c r="AD40" s="856"/>
      <c r="AE40" s="856"/>
      <c r="AF40" s="856"/>
      <c r="AG40" s="856"/>
      <c r="AH40" s="856"/>
      <c r="AI40" s="856"/>
      <c r="AJ40" s="856"/>
      <c r="AK40" s="856"/>
    </row>
    <row r="41" spans="1:37" ht="33.75" customHeight="1">
      <c r="A41" s="690"/>
      <c r="B41" s="823" t="s">
        <v>355</v>
      </c>
      <c r="C41" s="816">
        <v>0</v>
      </c>
      <c r="D41" s="816">
        <v>0</v>
      </c>
      <c r="E41" s="816">
        <v>0</v>
      </c>
      <c r="F41" s="818">
        <v>3744.2750000000001</v>
      </c>
      <c r="G41" s="817">
        <v>2995.3</v>
      </c>
      <c r="H41" s="817">
        <v>1073.3</v>
      </c>
      <c r="I41" s="818">
        <v>35.393999999999998</v>
      </c>
      <c r="J41" s="817">
        <v>30.146000000000001</v>
      </c>
      <c r="K41" s="817">
        <v>361</v>
      </c>
      <c r="L41" s="818">
        <v>0</v>
      </c>
      <c r="M41" s="818">
        <v>0</v>
      </c>
      <c r="N41" s="817">
        <v>0</v>
      </c>
      <c r="O41" s="820">
        <f>SUM(F41:H41)*C41/100+SUM(I41:K41)*D41/100+SUM(L41:N41)*E41/100</f>
        <v>0</v>
      </c>
      <c r="P41" s="682"/>
      <c r="Q41" s="682"/>
      <c r="R41" s="645"/>
      <c r="S41" s="683"/>
      <c r="T41" s="28"/>
      <c r="U41" s="856"/>
      <c r="V41" s="856"/>
      <c r="W41" s="856"/>
      <c r="X41" s="856"/>
      <c r="Y41" s="856"/>
      <c r="Z41" s="856"/>
      <c r="AA41" s="856"/>
      <c r="AB41" s="856"/>
      <c r="AC41" s="856"/>
      <c r="AD41" s="856"/>
      <c r="AE41" s="856"/>
      <c r="AF41" s="856"/>
      <c r="AG41" s="856"/>
      <c r="AH41" s="856"/>
      <c r="AI41" s="856"/>
      <c r="AJ41" s="856"/>
      <c r="AK41" s="856"/>
    </row>
    <row r="42" spans="1:37" s="397" customFormat="1" ht="18">
      <c r="A42" s="691"/>
      <c r="B42" s="824" t="s">
        <v>298</v>
      </c>
      <c r="C42" s="657"/>
      <c r="D42" s="657"/>
      <c r="E42" s="657"/>
      <c r="F42" s="680"/>
      <c r="G42" s="680"/>
      <c r="H42" s="675"/>
      <c r="I42" s="680"/>
      <c r="J42" s="680"/>
      <c r="K42" s="681"/>
      <c r="L42" s="680"/>
      <c r="M42" s="680"/>
      <c r="N42" s="681"/>
      <c r="O42" s="692">
        <f>SUM(O43+O44)</f>
        <v>994.59278150000011</v>
      </c>
      <c r="P42" s="660">
        <v>0</v>
      </c>
      <c r="Q42" s="660">
        <v>2120</v>
      </c>
      <c r="R42" s="645">
        <f>O42-P42-Q42</f>
        <v>-1125.4072185</v>
      </c>
      <c r="S42" s="661"/>
      <c r="T42" s="28"/>
      <c r="U42" s="856"/>
      <c r="V42" s="856"/>
      <c r="W42" s="856"/>
      <c r="X42" s="856"/>
      <c r="Y42" s="856"/>
      <c r="Z42" s="856"/>
      <c r="AA42" s="856"/>
      <c r="AB42" s="856"/>
      <c r="AC42" s="856"/>
      <c r="AD42" s="856"/>
      <c r="AE42" s="856"/>
      <c r="AF42" s="856"/>
      <c r="AG42" s="856"/>
      <c r="AH42" s="856"/>
      <c r="AI42" s="856"/>
      <c r="AJ42" s="856"/>
      <c r="AK42" s="856"/>
    </row>
    <row r="43" spans="1:37" ht="18">
      <c r="A43" s="690"/>
      <c r="B43" s="825" t="s">
        <v>239</v>
      </c>
      <c r="C43" s="662">
        <v>4.5</v>
      </c>
      <c r="D43" s="662">
        <v>0</v>
      </c>
      <c r="E43" s="662">
        <v>0</v>
      </c>
      <c r="F43" s="673">
        <v>1979.2322999999999</v>
      </c>
      <c r="G43" s="664">
        <v>5816.5684000000001</v>
      </c>
      <c r="H43" s="664">
        <v>2152.9</v>
      </c>
      <c r="I43" s="673">
        <v>84014.182400000005</v>
      </c>
      <c r="J43" s="669">
        <v>112355.49</v>
      </c>
      <c r="K43" s="663">
        <v>95584</v>
      </c>
      <c r="L43" s="673">
        <v>0</v>
      </c>
      <c r="M43" s="673">
        <v>0</v>
      </c>
      <c r="N43" s="664">
        <v>0</v>
      </c>
      <c r="O43" s="665">
        <f>SUM(F43:H43)*C43/100+SUM(I43:K43)*D43/100+SUM(L43:N43)*E43/100</f>
        <v>447.6915315</v>
      </c>
      <c r="P43" s="682"/>
      <c r="Q43" s="682"/>
      <c r="R43" s="645"/>
      <c r="S43" s="683"/>
      <c r="T43" s="28"/>
      <c r="U43" s="856"/>
      <c r="V43" s="856"/>
      <c r="W43" s="856"/>
      <c r="X43" s="856"/>
      <c r="Y43" s="856"/>
      <c r="Z43" s="856"/>
      <c r="AA43" s="856"/>
      <c r="AB43" s="856"/>
      <c r="AC43" s="856"/>
      <c r="AD43" s="856"/>
      <c r="AE43" s="856"/>
      <c r="AF43" s="856"/>
      <c r="AG43" s="856"/>
      <c r="AH43" s="856"/>
      <c r="AI43" s="856"/>
      <c r="AJ43" s="856"/>
      <c r="AK43" s="856"/>
    </row>
    <row r="44" spans="1:37" ht="18.600000000000001" thickBot="1">
      <c r="A44" s="690"/>
      <c r="B44" s="823" t="s">
        <v>355</v>
      </c>
      <c r="C44" s="816">
        <v>7</v>
      </c>
      <c r="D44" s="816">
        <v>0</v>
      </c>
      <c r="E44" s="816">
        <v>0</v>
      </c>
      <c r="F44" s="818">
        <v>3744.2750000000001</v>
      </c>
      <c r="G44" s="817">
        <v>2995.3</v>
      </c>
      <c r="H44" s="817">
        <v>1073.3</v>
      </c>
      <c r="I44" s="818">
        <v>35.393999999999998</v>
      </c>
      <c r="J44" s="817">
        <v>30.146000000000001</v>
      </c>
      <c r="K44" s="817">
        <v>361</v>
      </c>
      <c r="L44" s="818">
        <v>0</v>
      </c>
      <c r="M44" s="818">
        <v>0</v>
      </c>
      <c r="N44" s="817">
        <v>0</v>
      </c>
      <c r="O44" s="820">
        <f>SUM(F44:H44)*C44/100+SUM(I44:K44)*D44/100+SUM(L44:N44)*E44/100</f>
        <v>546.90125000000012</v>
      </c>
      <c r="P44" s="682"/>
      <c r="Q44" s="682"/>
      <c r="R44" s="645"/>
      <c r="S44" s="652"/>
      <c r="U44" s="856"/>
      <c r="V44" s="856"/>
      <c r="W44" s="856"/>
      <c r="X44" s="856"/>
      <c r="Y44" s="856"/>
      <c r="Z44" s="856"/>
      <c r="AA44" s="856"/>
      <c r="AB44" s="856"/>
      <c r="AC44" s="856"/>
      <c r="AD44" s="856"/>
      <c r="AE44" s="856"/>
      <c r="AF44" s="856"/>
      <c r="AG44" s="856"/>
      <c r="AH44" s="856"/>
      <c r="AI44" s="856"/>
      <c r="AJ44" s="856"/>
      <c r="AK44" s="856"/>
    </row>
    <row r="45" spans="1:37" ht="18">
      <c r="A45" s="632"/>
      <c r="B45" s="805" t="s">
        <v>299</v>
      </c>
      <c r="C45" s="693"/>
      <c r="D45" s="693"/>
      <c r="E45" s="693"/>
      <c r="F45" s="694"/>
      <c r="G45" s="694"/>
      <c r="H45" s="694"/>
      <c r="I45" s="694"/>
      <c r="J45" s="694"/>
      <c r="K45" s="694"/>
      <c r="L45" s="694"/>
      <c r="M45" s="694"/>
      <c r="N45" s="694"/>
      <c r="O45" s="693">
        <f>O46+O48+O51+O53+O55+O57+O59+O62+O64+O66+O68+O70+O72+O74</f>
        <v>69595.82799999998</v>
      </c>
      <c r="P45" s="695">
        <f>SUM(P46+P48+P51+P53+P55+P57+P59+P62+P66+P68+P70+P72+P74+P76)</f>
        <v>32462.3</v>
      </c>
      <c r="Q45" s="696">
        <f>Q46+Q48+Q51+Q53+Q55+Q57+Q59+Q62+Q66+Q68+Q70+Q72+Q74</f>
        <v>18311</v>
      </c>
      <c r="R45" s="645">
        <f>O45-P45-Q45</f>
        <v>18822.527999999977</v>
      </c>
      <c r="S45" s="652"/>
      <c r="U45" s="856"/>
      <c r="V45" s="856"/>
      <c r="W45" s="856"/>
      <c r="X45" s="856"/>
      <c r="Y45" s="856"/>
      <c r="Z45" s="856"/>
      <c r="AA45" s="856"/>
      <c r="AB45" s="856"/>
      <c r="AC45" s="856"/>
      <c r="AD45" s="856"/>
      <c r="AE45" s="856"/>
      <c r="AF45" s="856"/>
      <c r="AG45" s="856"/>
      <c r="AH45" s="856"/>
      <c r="AI45" s="856"/>
      <c r="AJ45" s="856"/>
      <c r="AK45" s="856"/>
    </row>
    <row r="46" spans="1:37" ht="18">
      <c r="A46" s="632">
        <v>10</v>
      </c>
      <c r="B46" s="806" t="s">
        <v>245</v>
      </c>
      <c r="C46" s="698"/>
      <c r="D46" s="698"/>
      <c r="E46" s="698"/>
      <c r="F46" s="699"/>
      <c r="G46" s="699"/>
      <c r="H46" s="699"/>
      <c r="I46" s="699"/>
      <c r="J46" s="699"/>
      <c r="K46" s="699"/>
      <c r="L46" s="699"/>
      <c r="M46" s="699"/>
      <c r="N46" s="699"/>
      <c r="O46" s="698">
        <f>O47</f>
        <v>21435.863999999998</v>
      </c>
      <c r="P46" s="700">
        <v>15618.8</v>
      </c>
      <c r="Q46" s="700">
        <v>8400</v>
      </c>
      <c r="R46" s="645">
        <f>O46-P46-Q46</f>
        <v>-2582.9360000000015</v>
      </c>
      <c r="S46" s="661"/>
      <c r="U46" s="856"/>
      <c r="V46" s="856"/>
      <c r="W46" s="856"/>
      <c r="X46" s="856"/>
      <c r="Y46" s="856"/>
      <c r="Z46" s="856"/>
      <c r="AA46" s="856"/>
      <c r="AB46" s="856"/>
      <c r="AC46" s="856"/>
      <c r="AD46" s="856"/>
      <c r="AE46" s="856"/>
      <c r="AF46" s="856"/>
      <c r="AG46" s="856"/>
      <c r="AH46" s="856"/>
      <c r="AI46" s="856"/>
      <c r="AJ46" s="856"/>
      <c r="AK46" s="856"/>
    </row>
    <row r="47" spans="1:37" ht="18">
      <c r="A47" s="632"/>
      <c r="B47" s="842" t="s">
        <v>277</v>
      </c>
      <c r="C47" s="707">
        <v>50</v>
      </c>
      <c r="D47" s="707">
        <v>70</v>
      </c>
      <c r="E47" s="707">
        <v>30</v>
      </c>
      <c r="F47" s="843">
        <v>13645.062</v>
      </c>
      <c r="G47" s="843">
        <v>15242.8</v>
      </c>
      <c r="H47" s="843">
        <v>9677.7999999999993</v>
      </c>
      <c r="I47" s="843">
        <v>216.84</v>
      </c>
      <c r="J47" s="843">
        <v>225.6</v>
      </c>
      <c r="K47" s="843">
        <v>203.6</v>
      </c>
      <c r="L47" s="843">
        <v>1713.35</v>
      </c>
      <c r="M47" s="843">
        <v>1888.1</v>
      </c>
      <c r="N47" s="843">
        <v>2067.9</v>
      </c>
      <c r="O47" s="707">
        <f>SUM(F47:H47)*C47/100+SUM(I47:K47)*D47/100+SUM(L47:N47)*E47/100</f>
        <v>21435.863999999998</v>
      </c>
      <c r="P47" s="703"/>
      <c r="Q47" s="703"/>
      <c r="R47" s="645"/>
      <c r="S47" s="652"/>
      <c r="U47" s="856"/>
      <c r="V47" s="856"/>
      <c r="W47" s="856"/>
      <c r="X47" s="856"/>
      <c r="Y47" s="856"/>
      <c r="Z47" s="856"/>
      <c r="AA47" s="856"/>
      <c r="AB47" s="856"/>
      <c r="AC47" s="856"/>
      <c r="AD47" s="856"/>
      <c r="AE47" s="856"/>
      <c r="AF47" s="856"/>
      <c r="AG47" s="856"/>
      <c r="AH47" s="856"/>
      <c r="AI47" s="856"/>
      <c r="AJ47" s="856"/>
      <c r="AK47" s="856"/>
    </row>
    <row r="48" spans="1:37" ht="18">
      <c r="A48" s="632">
        <v>11</v>
      </c>
      <c r="B48" s="806" t="s">
        <v>246</v>
      </c>
      <c r="C48" s="698"/>
      <c r="D48" s="698"/>
      <c r="E48" s="698"/>
      <c r="F48" s="704"/>
      <c r="G48" s="704"/>
      <c r="H48" s="704"/>
      <c r="I48" s="704"/>
      <c r="J48" s="704"/>
      <c r="K48" s="704"/>
      <c r="L48" s="704"/>
      <c r="M48" s="704"/>
      <c r="N48" s="704"/>
      <c r="O48" s="698">
        <f>O49+O50</f>
        <v>27873.061299999994</v>
      </c>
      <c r="P48" s="700">
        <v>6276.1</v>
      </c>
      <c r="Q48" s="700">
        <v>8875</v>
      </c>
      <c r="R48" s="645">
        <f>O48-P48-Q48</f>
        <v>12721.961299999995</v>
      </c>
      <c r="S48" s="661">
        <f>R48</f>
        <v>12721.961299999995</v>
      </c>
    </row>
    <row r="49" spans="1:19" ht="18">
      <c r="A49" s="632"/>
      <c r="B49" s="842" t="s">
        <v>277</v>
      </c>
      <c r="C49" s="707">
        <v>30</v>
      </c>
      <c r="D49" s="707">
        <v>0</v>
      </c>
      <c r="E49" s="707">
        <v>0</v>
      </c>
      <c r="F49" s="843">
        <v>13645.062</v>
      </c>
      <c r="G49" s="843">
        <v>15242.8</v>
      </c>
      <c r="H49" s="843">
        <v>9677.7999999999993</v>
      </c>
      <c r="I49" s="843">
        <v>216.84</v>
      </c>
      <c r="J49" s="843">
        <v>225.6</v>
      </c>
      <c r="K49" s="843">
        <v>203.6</v>
      </c>
      <c r="L49" s="843">
        <v>1713.35</v>
      </c>
      <c r="M49" s="843">
        <v>1888.1</v>
      </c>
      <c r="N49" s="843">
        <v>2067.9</v>
      </c>
      <c r="O49" s="707">
        <f>SUM(F49:H49)*C49/100+SUM(I49:K49)*D49/100+SUM(L49:N49)*E49/100</f>
        <v>11569.698599999998</v>
      </c>
      <c r="P49" s="705"/>
      <c r="Q49" s="705"/>
      <c r="R49" s="645"/>
      <c r="S49" s="652"/>
    </row>
    <row r="50" spans="1:19" ht="18">
      <c r="A50" s="632"/>
      <c r="B50" s="842" t="s">
        <v>356</v>
      </c>
      <c r="C50" s="707">
        <v>90</v>
      </c>
      <c r="D50" s="707">
        <v>80</v>
      </c>
      <c r="E50" s="707">
        <v>50</v>
      </c>
      <c r="F50" s="843">
        <v>6209.9530000000004</v>
      </c>
      <c r="G50" s="843">
        <v>6651.1580000000004</v>
      </c>
      <c r="H50" s="843">
        <v>4891.5</v>
      </c>
      <c r="I50" s="843">
        <v>72.31</v>
      </c>
      <c r="J50" s="843">
        <v>77.230999999999995</v>
      </c>
      <c r="K50" s="843">
        <v>80.3</v>
      </c>
      <c r="L50" s="843">
        <v>256.38299999999998</v>
      </c>
      <c r="M50" s="843">
        <v>27.896999999999998</v>
      </c>
      <c r="N50" s="843">
        <v>0</v>
      </c>
      <c r="O50" s="707">
        <f>SUM(F50:H50)*C50/100+SUM(I50:K50)*D50/100+SUM(L50:N50)*E50/100</f>
        <v>16303.362699999998</v>
      </c>
      <c r="P50" s="705"/>
      <c r="Q50" s="705"/>
      <c r="R50" s="645"/>
      <c r="S50" s="652"/>
    </row>
    <row r="51" spans="1:19" ht="18">
      <c r="A51" s="632">
        <v>12</v>
      </c>
      <c r="B51" s="806" t="s">
        <v>247</v>
      </c>
      <c r="C51" s="698"/>
      <c r="D51" s="698"/>
      <c r="E51" s="698"/>
      <c r="F51" s="704"/>
      <c r="G51" s="704"/>
      <c r="H51" s="704"/>
      <c r="I51" s="704"/>
      <c r="J51" s="704"/>
      <c r="K51" s="704"/>
      <c r="L51" s="704"/>
      <c r="M51" s="704"/>
      <c r="N51" s="704"/>
      <c r="O51" s="698">
        <f>O52</f>
        <v>4990.4362000000001</v>
      </c>
      <c r="P51" s="700">
        <v>0</v>
      </c>
      <c r="Q51" s="700">
        <v>0</v>
      </c>
      <c r="R51" s="645">
        <f>O51-P51-Q51</f>
        <v>4990.4362000000001</v>
      </c>
      <c r="S51" s="661">
        <f>R51</f>
        <v>4990.4362000000001</v>
      </c>
    </row>
    <row r="52" spans="1:19" ht="18">
      <c r="A52" s="632"/>
      <c r="B52" s="842" t="s">
        <v>277</v>
      </c>
      <c r="C52" s="707">
        <v>10</v>
      </c>
      <c r="D52" s="707">
        <v>0</v>
      </c>
      <c r="E52" s="707">
        <v>20</v>
      </c>
      <c r="F52" s="843">
        <v>13645.062</v>
      </c>
      <c r="G52" s="843">
        <v>15242.8</v>
      </c>
      <c r="H52" s="843">
        <v>9677.7999999999993</v>
      </c>
      <c r="I52" s="843">
        <v>216.84</v>
      </c>
      <c r="J52" s="843">
        <v>225.6</v>
      </c>
      <c r="K52" s="843">
        <v>203.6</v>
      </c>
      <c r="L52" s="843">
        <v>1713.35</v>
      </c>
      <c r="M52" s="843">
        <v>1888.1</v>
      </c>
      <c r="N52" s="843">
        <v>2067.9</v>
      </c>
      <c r="O52" s="707">
        <f>SUM(F52:H52)*C52/100+SUM(I52:K52)*D52/100+SUM(L52:N52)*E52/100</f>
        <v>4990.4362000000001</v>
      </c>
      <c r="P52" s="705"/>
      <c r="Q52" s="705"/>
      <c r="R52" s="645"/>
      <c r="S52" s="652"/>
    </row>
    <row r="53" spans="1:19" ht="18">
      <c r="A53" s="632">
        <v>13</v>
      </c>
      <c r="B53" s="806" t="s">
        <v>248</v>
      </c>
      <c r="C53" s="698"/>
      <c r="D53" s="698"/>
      <c r="E53" s="698"/>
      <c r="F53" s="704"/>
      <c r="G53" s="704"/>
      <c r="H53" s="704"/>
      <c r="I53" s="704"/>
      <c r="J53" s="704"/>
      <c r="K53" s="704"/>
      <c r="L53" s="704"/>
      <c r="M53" s="704"/>
      <c r="N53" s="704"/>
      <c r="O53" s="698">
        <f>O54</f>
        <v>3921.1701999999996</v>
      </c>
      <c r="P53" s="700">
        <v>5842.8</v>
      </c>
      <c r="Q53" s="700">
        <v>0</v>
      </c>
      <c r="R53" s="645">
        <f>O53-P53-Q53</f>
        <v>-1921.6298000000006</v>
      </c>
      <c r="S53" s="661"/>
    </row>
    <row r="54" spans="1:19" ht="18">
      <c r="A54" s="632"/>
      <c r="B54" s="842" t="s">
        <v>277</v>
      </c>
      <c r="C54" s="707">
        <v>10</v>
      </c>
      <c r="D54" s="707">
        <v>10</v>
      </c>
      <c r="E54" s="707">
        <v>0</v>
      </c>
      <c r="F54" s="843">
        <v>13645.062</v>
      </c>
      <c r="G54" s="843">
        <v>15242.8</v>
      </c>
      <c r="H54" s="843">
        <v>9677.7999999999993</v>
      </c>
      <c r="I54" s="843">
        <v>216.84</v>
      </c>
      <c r="J54" s="843">
        <v>225.6</v>
      </c>
      <c r="K54" s="843">
        <v>203.6</v>
      </c>
      <c r="L54" s="843">
        <v>1713.35</v>
      </c>
      <c r="M54" s="843">
        <v>1888.1</v>
      </c>
      <c r="N54" s="843">
        <v>2067.9</v>
      </c>
      <c r="O54" s="707">
        <f>SUM(F54:H54)*C54/100+SUM(I54:K54)*D54/100+SUM(L54:N54)*E54/100</f>
        <v>3921.1701999999996</v>
      </c>
      <c r="P54" s="705"/>
      <c r="Q54" s="705"/>
      <c r="R54" s="645"/>
      <c r="S54" s="652"/>
    </row>
    <row r="55" spans="1:19" ht="18">
      <c r="A55" s="632">
        <v>14</v>
      </c>
      <c r="B55" s="826" t="s">
        <v>249</v>
      </c>
      <c r="C55" s="698"/>
      <c r="D55" s="698"/>
      <c r="E55" s="698"/>
      <c r="F55" s="704"/>
      <c r="G55" s="704"/>
      <c r="H55" s="704"/>
      <c r="I55" s="704"/>
      <c r="J55" s="704"/>
      <c r="K55" s="704"/>
      <c r="L55" s="704"/>
      <c r="M55" s="704"/>
      <c r="N55" s="704"/>
      <c r="O55" s="698">
        <f>O56</f>
        <v>0</v>
      </c>
      <c r="P55" s="700">
        <v>3340.3</v>
      </c>
      <c r="Q55" s="700">
        <v>1036</v>
      </c>
      <c r="R55" s="645">
        <f>O55-P55-Q55</f>
        <v>-4376.3</v>
      </c>
      <c r="S55" s="706"/>
    </row>
    <row r="56" spans="1:19" ht="18">
      <c r="A56" s="632"/>
      <c r="B56" s="842" t="s">
        <v>281</v>
      </c>
      <c r="C56" s="707">
        <v>0</v>
      </c>
      <c r="D56" s="707">
        <v>0</v>
      </c>
      <c r="E56" s="707">
        <v>0</v>
      </c>
      <c r="F56" s="843">
        <v>3202.79</v>
      </c>
      <c r="G56" s="843">
        <v>1360</v>
      </c>
      <c r="H56" s="843">
        <v>1460</v>
      </c>
      <c r="I56" s="843">
        <v>432.18900000000002</v>
      </c>
      <c r="J56" s="843">
        <v>210</v>
      </c>
      <c r="K56" s="843">
        <v>350</v>
      </c>
      <c r="L56" s="843">
        <v>0</v>
      </c>
      <c r="M56" s="843">
        <v>0</v>
      </c>
      <c r="N56" s="843">
        <v>0</v>
      </c>
      <c r="O56" s="707">
        <f>SUM(F56:H56)*C56/100+SUM(I56:K56)*D56/100+SUM(L56:N56)*E56/100</f>
        <v>0</v>
      </c>
      <c r="P56" s="705"/>
      <c r="Q56" s="705"/>
      <c r="R56" s="645"/>
      <c r="S56" s="652"/>
    </row>
    <row r="57" spans="1:19" ht="18">
      <c r="A57" s="632">
        <v>15</v>
      </c>
      <c r="B57" s="826" t="s">
        <v>250</v>
      </c>
      <c r="C57" s="698"/>
      <c r="D57" s="698"/>
      <c r="E57" s="698"/>
      <c r="F57" s="704"/>
      <c r="G57" s="704"/>
      <c r="H57" s="704"/>
      <c r="I57" s="704"/>
      <c r="J57" s="704"/>
      <c r="K57" s="704"/>
      <c r="L57" s="704"/>
      <c r="M57" s="704"/>
      <c r="N57" s="704"/>
      <c r="O57" s="698">
        <f>O58</f>
        <v>0</v>
      </c>
      <c r="P57" s="700">
        <v>1384.3</v>
      </c>
      <c r="Q57" s="700">
        <v>0</v>
      </c>
      <c r="R57" s="645">
        <f>O57-P57-Q57</f>
        <v>-1384.3</v>
      </c>
      <c r="S57" s="706"/>
    </row>
    <row r="58" spans="1:19" ht="18">
      <c r="A58" s="632"/>
      <c r="B58" s="842" t="s">
        <v>281</v>
      </c>
      <c r="C58" s="707">
        <v>0</v>
      </c>
      <c r="D58" s="707">
        <v>0</v>
      </c>
      <c r="E58" s="707">
        <v>0</v>
      </c>
      <c r="F58" s="843">
        <v>3202.79</v>
      </c>
      <c r="G58" s="843">
        <v>1360</v>
      </c>
      <c r="H58" s="843">
        <v>1460</v>
      </c>
      <c r="I58" s="843">
        <v>432.18900000000002</v>
      </c>
      <c r="J58" s="843">
        <v>210</v>
      </c>
      <c r="K58" s="843">
        <v>350</v>
      </c>
      <c r="L58" s="843">
        <v>0</v>
      </c>
      <c r="M58" s="843">
        <v>0</v>
      </c>
      <c r="N58" s="843">
        <v>0</v>
      </c>
      <c r="O58" s="707">
        <f>SUM(F58:H58)*C58/100+SUM(I58:K58)*D58/100+SUM(L58:N58)*E58/100</f>
        <v>0</v>
      </c>
      <c r="P58" s="705"/>
      <c r="Q58" s="705"/>
      <c r="R58" s="645"/>
      <c r="S58" s="652"/>
    </row>
    <row r="59" spans="1:19" ht="18">
      <c r="A59" s="632">
        <v>16</v>
      </c>
      <c r="B59" s="827" t="s">
        <v>251</v>
      </c>
      <c r="C59" s="698"/>
      <c r="D59" s="698"/>
      <c r="E59" s="698"/>
      <c r="F59" s="704"/>
      <c r="G59" s="704"/>
      <c r="H59" s="704"/>
      <c r="I59" s="704"/>
      <c r="J59" s="704"/>
      <c r="K59" s="704"/>
      <c r="L59" s="704"/>
      <c r="M59" s="704"/>
      <c r="N59" s="704"/>
      <c r="O59" s="698">
        <f>O60+O61</f>
        <v>2388.1643000000004</v>
      </c>
      <c r="P59" s="700">
        <v>0</v>
      </c>
      <c r="Q59" s="700">
        <v>0</v>
      </c>
      <c r="R59" s="645">
        <f>O59-P59-Q59</f>
        <v>2388.1643000000004</v>
      </c>
      <c r="S59" s="661">
        <f>R59</f>
        <v>2388.1643000000004</v>
      </c>
    </row>
    <row r="60" spans="1:19" ht="18">
      <c r="A60" s="632"/>
      <c r="B60" s="842" t="s">
        <v>277</v>
      </c>
      <c r="C60" s="707">
        <v>0</v>
      </c>
      <c r="D60" s="707">
        <v>0</v>
      </c>
      <c r="E60" s="707">
        <v>10</v>
      </c>
      <c r="F60" s="843">
        <v>13645.062</v>
      </c>
      <c r="G60" s="843">
        <v>15242.8</v>
      </c>
      <c r="H60" s="843">
        <v>9677.7999999999993</v>
      </c>
      <c r="I60" s="843">
        <v>216.84</v>
      </c>
      <c r="J60" s="843">
        <v>225.6</v>
      </c>
      <c r="K60" s="843">
        <v>203.6</v>
      </c>
      <c r="L60" s="843">
        <v>1713.35</v>
      </c>
      <c r="M60" s="843">
        <v>1888.1</v>
      </c>
      <c r="N60" s="843">
        <v>2067.9</v>
      </c>
      <c r="O60" s="707">
        <f>SUM(F60:H60)*C60/100+SUM(I60:K60)*D60/100+SUM(L60:N60)*E60/100</f>
        <v>566.93499999999995</v>
      </c>
      <c r="P60" s="705"/>
      <c r="Q60" s="705"/>
      <c r="R60" s="645"/>
      <c r="S60" s="652"/>
    </row>
    <row r="61" spans="1:19" ht="18">
      <c r="A61" s="632"/>
      <c r="B61" s="842" t="s">
        <v>356</v>
      </c>
      <c r="C61" s="707">
        <v>10</v>
      </c>
      <c r="D61" s="707">
        <v>20</v>
      </c>
      <c r="E61" s="707">
        <v>0</v>
      </c>
      <c r="F61" s="843">
        <v>6209.9530000000004</v>
      </c>
      <c r="G61" s="843">
        <v>6651.1580000000004</v>
      </c>
      <c r="H61" s="843">
        <v>4891.5</v>
      </c>
      <c r="I61" s="843">
        <v>72.31</v>
      </c>
      <c r="J61" s="843">
        <v>77.230999999999995</v>
      </c>
      <c r="K61" s="843">
        <v>80.3</v>
      </c>
      <c r="L61" s="843">
        <v>256.38299999999998</v>
      </c>
      <c r="M61" s="843">
        <v>27.896999999999998</v>
      </c>
      <c r="N61" s="843">
        <v>0</v>
      </c>
      <c r="O61" s="707">
        <f>SUM(F61:H61)*C61/100+SUM(I61:K61)*D61/100+SUM(L61:N61)*E61/100</f>
        <v>1821.2293000000002</v>
      </c>
      <c r="P61" s="705"/>
      <c r="Q61" s="705"/>
      <c r="R61" s="645"/>
      <c r="S61" s="652"/>
    </row>
    <row r="62" spans="1:19" ht="18">
      <c r="A62" s="632">
        <v>17</v>
      </c>
      <c r="B62" s="828" t="s">
        <v>245</v>
      </c>
      <c r="C62" s="708"/>
      <c r="D62" s="708"/>
      <c r="E62" s="708"/>
      <c r="F62" s="709"/>
      <c r="G62" s="709"/>
      <c r="H62" s="710"/>
      <c r="I62" s="710"/>
      <c r="J62" s="710"/>
      <c r="K62" s="710"/>
      <c r="L62" s="710"/>
      <c r="M62" s="710"/>
      <c r="N62" s="710"/>
      <c r="O62" s="711">
        <f>O63</f>
        <v>129.208</v>
      </c>
      <c r="P62" s="712">
        <v>0</v>
      </c>
      <c r="Q62" s="712">
        <v>0</v>
      </c>
      <c r="R62" s="713">
        <f>O62-P62-Q62</f>
        <v>129.208</v>
      </c>
      <c r="S62" s="714">
        <f>R62</f>
        <v>129.208</v>
      </c>
    </row>
    <row r="63" spans="1:19" ht="18">
      <c r="A63" s="632"/>
      <c r="B63" s="842" t="s">
        <v>277</v>
      </c>
      <c r="C63" s="707">
        <v>0</v>
      </c>
      <c r="D63" s="707">
        <v>20</v>
      </c>
      <c r="E63" s="707">
        <v>0</v>
      </c>
      <c r="F63" s="843">
        <v>13645.062</v>
      </c>
      <c r="G63" s="843">
        <v>15242.8</v>
      </c>
      <c r="H63" s="843">
        <v>9677.7999999999993</v>
      </c>
      <c r="I63" s="843">
        <v>216.84</v>
      </c>
      <c r="J63" s="843">
        <v>225.6</v>
      </c>
      <c r="K63" s="843">
        <v>203.6</v>
      </c>
      <c r="L63" s="843">
        <v>1713.35</v>
      </c>
      <c r="M63" s="843">
        <v>1888.1</v>
      </c>
      <c r="N63" s="843">
        <v>2067.9</v>
      </c>
      <c r="O63" s="707">
        <f>SUM(F63:H63)*C63/100+SUM(I63:K63)*D63/100+SUM(L63:N63)*E63/100</f>
        <v>129.208</v>
      </c>
      <c r="P63" s="705"/>
      <c r="Q63" s="705"/>
      <c r="R63" s="645"/>
      <c r="S63" s="652"/>
    </row>
    <row r="64" spans="1:19" ht="18">
      <c r="A64" s="632">
        <v>18</v>
      </c>
      <c r="B64" s="827" t="s">
        <v>252</v>
      </c>
      <c r="C64" s="698"/>
      <c r="D64" s="698"/>
      <c r="E64" s="698"/>
      <c r="F64" s="704"/>
      <c r="G64" s="704"/>
      <c r="H64" s="704"/>
      <c r="I64" s="704"/>
      <c r="J64" s="704"/>
      <c r="K64" s="704"/>
      <c r="L64" s="715"/>
      <c r="M64" s="715"/>
      <c r="N64" s="715"/>
      <c r="O64" s="716">
        <f>O65</f>
        <v>7014.9790000000003</v>
      </c>
      <c r="P64" s="717">
        <f>P55+P57+P66+P68</f>
        <v>4724.6000000000004</v>
      </c>
      <c r="Q64" s="717">
        <f>Q55+Q57+Q66+Q68</f>
        <v>1036</v>
      </c>
      <c r="R64" s="645">
        <f>O64-P64-Q64</f>
        <v>1254.3789999999999</v>
      </c>
      <c r="S64" s="718">
        <f>R64</f>
        <v>1254.3789999999999</v>
      </c>
    </row>
    <row r="65" spans="1:19" ht="18">
      <c r="A65" s="632"/>
      <c r="B65" s="842" t="s">
        <v>281</v>
      </c>
      <c r="C65" s="707">
        <v>100</v>
      </c>
      <c r="D65" s="707">
        <v>100</v>
      </c>
      <c r="E65" s="707">
        <v>100</v>
      </c>
      <c r="F65" s="843">
        <v>3202.79</v>
      </c>
      <c r="G65" s="843">
        <v>1360</v>
      </c>
      <c r="H65" s="843">
        <v>1460</v>
      </c>
      <c r="I65" s="843">
        <v>432.18900000000002</v>
      </c>
      <c r="J65" s="843">
        <v>210</v>
      </c>
      <c r="K65" s="843">
        <v>350</v>
      </c>
      <c r="L65" s="843">
        <v>0</v>
      </c>
      <c r="M65" s="843">
        <v>0</v>
      </c>
      <c r="N65" s="843">
        <v>0</v>
      </c>
      <c r="O65" s="707">
        <f>SUM(F65:H65)*C65/100+SUM(I65:K65)*D65/100+SUM(L65:N65)*E65/100</f>
        <v>7014.9790000000003</v>
      </c>
      <c r="P65" s="705"/>
      <c r="Q65" s="705"/>
      <c r="R65" s="645"/>
      <c r="S65" s="652"/>
    </row>
    <row r="66" spans="1:19" ht="18">
      <c r="A66" s="632">
        <v>19</v>
      </c>
      <c r="B66" s="826" t="s">
        <v>253</v>
      </c>
      <c r="C66" s="698"/>
      <c r="D66" s="698"/>
      <c r="E66" s="698"/>
      <c r="F66" s="704"/>
      <c r="G66" s="704"/>
      <c r="H66" s="704"/>
      <c r="I66" s="704"/>
      <c r="J66" s="704"/>
      <c r="K66" s="704"/>
      <c r="L66" s="704"/>
      <c r="M66" s="704"/>
      <c r="N66" s="704"/>
      <c r="O66" s="698">
        <f>O67</f>
        <v>0</v>
      </c>
      <c r="P66" s="700">
        <v>0</v>
      </c>
      <c r="Q66" s="700">
        <v>0</v>
      </c>
      <c r="R66" s="645">
        <f>O66-P66-Q66</f>
        <v>0</v>
      </c>
      <c r="S66" s="706"/>
    </row>
    <row r="67" spans="1:19" ht="18">
      <c r="A67" s="632"/>
      <c r="B67" s="842" t="s">
        <v>281</v>
      </c>
      <c r="C67" s="707">
        <v>0</v>
      </c>
      <c r="D67" s="707">
        <v>0</v>
      </c>
      <c r="E67" s="707">
        <v>0</v>
      </c>
      <c r="F67" s="843">
        <v>3202.79</v>
      </c>
      <c r="G67" s="843">
        <v>1360</v>
      </c>
      <c r="H67" s="843">
        <v>1460</v>
      </c>
      <c r="I67" s="843">
        <v>432.18900000000002</v>
      </c>
      <c r="J67" s="843">
        <v>210</v>
      </c>
      <c r="K67" s="843">
        <v>350</v>
      </c>
      <c r="L67" s="843">
        <v>0</v>
      </c>
      <c r="M67" s="843">
        <v>0</v>
      </c>
      <c r="N67" s="843">
        <v>0</v>
      </c>
      <c r="O67" s="707">
        <f>SUM(F67:H67)*C67/100+SUM(I67:K67)*D67/100+SUM(L67:N67)*E67/100</f>
        <v>0</v>
      </c>
      <c r="P67" s="705"/>
      <c r="Q67" s="705"/>
      <c r="R67" s="645"/>
      <c r="S67" s="652"/>
    </row>
    <row r="68" spans="1:19" ht="18">
      <c r="A68" s="632">
        <v>20</v>
      </c>
      <c r="B68" s="826" t="s">
        <v>254</v>
      </c>
      <c r="C68" s="698"/>
      <c r="D68" s="698"/>
      <c r="E68" s="698"/>
      <c r="F68" s="704"/>
      <c r="G68" s="704"/>
      <c r="H68" s="704"/>
      <c r="I68" s="704"/>
      <c r="J68" s="704"/>
      <c r="K68" s="704"/>
      <c r="L68" s="704"/>
      <c r="M68" s="704"/>
      <c r="N68" s="704"/>
      <c r="O68" s="698">
        <f>O69</f>
        <v>0</v>
      </c>
      <c r="P68" s="700">
        <v>0</v>
      </c>
      <c r="Q68" s="700">
        <v>0</v>
      </c>
      <c r="R68" s="645">
        <f>O68-P68-Q68</f>
        <v>0</v>
      </c>
      <c r="S68" s="706"/>
    </row>
    <row r="69" spans="1:19" ht="18">
      <c r="A69" s="632"/>
      <c r="B69" s="842" t="s">
        <v>281</v>
      </c>
      <c r="C69" s="707">
        <v>0</v>
      </c>
      <c r="D69" s="707">
        <v>0</v>
      </c>
      <c r="E69" s="707">
        <v>0</v>
      </c>
      <c r="F69" s="843">
        <v>3202.79</v>
      </c>
      <c r="G69" s="843">
        <v>1360</v>
      </c>
      <c r="H69" s="843">
        <v>1460</v>
      </c>
      <c r="I69" s="843">
        <v>432.18900000000002</v>
      </c>
      <c r="J69" s="843">
        <v>210</v>
      </c>
      <c r="K69" s="843">
        <v>350</v>
      </c>
      <c r="L69" s="843">
        <v>0</v>
      </c>
      <c r="M69" s="843">
        <v>0</v>
      </c>
      <c r="N69" s="843">
        <v>0</v>
      </c>
      <c r="O69" s="707">
        <f>SUM(F69:H69)*C69/100+SUM(I69:K69)*D69/100+SUM(L69:N69)*E69/100</f>
        <v>0</v>
      </c>
      <c r="P69" s="705"/>
      <c r="Q69" s="705"/>
      <c r="R69" s="645"/>
      <c r="S69" s="652"/>
    </row>
    <row r="70" spans="1:19" ht="18">
      <c r="A70" s="632">
        <v>21</v>
      </c>
      <c r="B70" s="806" t="s">
        <v>255</v>
      </c>
      <c r="C70" s="719"/>
      <c r="D70" s="719"/>
      <c r="E70" s="719"/>
      <c r="F70" s="720"/>
      <c r="G70" s="720"/>
      <c r="H70" s="704"/>
      <c r="I70" s="704"/>
      <c r="J70" s="704"/>
      <c r="K70" s="704"/>
      <c r="L70" s="704"/>
      <c r="M70" s="704"/>
      <c r="N70" s="704"/>
      <c r="O70" s="698">
        <f>O71</f>
        <v>1133.8699999999999</v>
      </c>
      <c r="P70" s="700">
        <v>0</v>
      </c>
      <c r="Q70" s="700">
        <v>0</v>
      </c>
      <c r="R70" s="645">
        <f>O70-P70-Q70</f>
        <v>1133.8699999999999</v>
      </c>
      <c r="S70" s="661">
        <f>R70</f>
        <v>1133.8699999999999</v>
      </c>
    </row>
    <row r="71" spans="1:19" ht="18">
      <c r="A71" s="632"/>
      <c r="B71" s="842" t="s">
        <v>277</v>
      </c>
      <c r="C71" s="707">
        <v>0</v>
      </c>
      <c r="D71" s="707">
        <v>0</v>
      </c>
      <c r="E71" s="707">
        <v>20</v>
      </c>
      <c r="F71" s="843">
        <v>13645.062</v>
      </c>
      <c r="G71" s="843">
        <v>15242.8</v>
      </c>
      <c r="H71" s="843">
        <v>9677.7999999999993</v>
      </c>
      <c r="I71" s="843">
        <v>216.84</v>
      </c>
      <c r="J71" s="843">
        <v>225.6</v>
      </c>
      <c r="K71" s="843">
        <v>203.6</v>
      </c>
      <c r="L71" s="843">
        <v>1713.35</v>
      </c>
      <c r="M71" s="843">
        <v>1888.1</v>
      </c>
      <c r="N71" s="843">
        <v>2067.9</v>
      </c>
      <c r="O71" s="707">
        <f>SUM(F71:H71)*C71/100+SUM(I71:K71)*D71/100+SUM(L71:N71)*E71/100</f>
        <v>1133.8699999999999</v>
      </c>
      <c r="P71" s="703"/>
      <c r="Q71" s="703"/>
      <c r="R71" s="645"/>
      <c r="S71" s="652"/>
    </row>
    <row r="72" spans="1:19" ht="18">
      <c r="A72" s="632">
        <v>22</v>
      </c>
      <c r="B72" s="806" t="s">
        <v>256</v>
      </c>
      <c r="C72" s="719"/>
      <c r="D72" s="719"/>
      <c r="E72" s="719"/>
      <c r="F72" s="720"/>
      <c r="G72" s="720"/>
      <c r="H72" s="704"/>
      <c r="I72" s="704"/>
      <c r="J72" s="704"/>
      <c r="K72" s="704"/>
      <c r="L72" s="704"/>
      <c r="M72" s="704"/>
      <c r="N72" s="704"/>
      <c r="O72" s="698">
        <f>O73</f>
        <v>566.93499999999995</v>
      </c>
      <c r="P72" s="700">
        <v>0</v>
      </c>
      <c r="Q72" s="700">
        <v>0</v>
      </c>
      <c r="R72" s="645">
        <f>O72-P72-Q72</f>
        <v>566.93499999999995</v>
      </c>
      <c r="S72" s="661">
        <f>R72</f>
        <v>566.93499999999995</v>
      </c>
    </row>
    <row r="73" spans="1:19" ht="18">
      <c r="A73" s="632"/>
      <c r="B73" s="842" t="s">
        <v>277</v>
      </c>
      <c r="C73" s="707">
        <v>0</v>
      </c>
      <c r="D73" s="707">
        <v>0</v>
      </c>
      <c r="E73" s="707">
        <v>10</v>
      </c>
      <c r="F73" s="843">
        <v>13645.062</v>
      </c>
      <c r="G73" s="843">
        <v>15242.8</v>
      </c>
      <c r="H73" s="843">
        <v>9677.7999999999993</v>
      </c>
      <c r="I73" s="843">
        <v>216.84</v>
      </c>
      <c r="J73" s="843">
        <v>225.6</v>
      </c>
      <c r="K73" s="843">
        <v>203.6</v>
      </c>
      <c r="L73" s="843">
        <v>1713.35</v>
      </c>
      <c r="M73" s="843">
        <v>1888.1</v>
      </c>
      <c r="N73" s="843">
        <v>2067.9</v>
      </c>
      <c r="O73" s="707">
        <f>SUM(F73:H73)*C73/100+SUM(I73:K73)*D73/100+SUM(L73:N73)*E73/100</f>
        <v>566.93499999999995</v>
      </c>
      <c r="P73" s="703"/>
      <c r="Q73" s="703"/>
      <c r="R73" s="645"/>
      <c r="S73" s="652"/>
    </row>
    <row r="74" spans="1:19" ht="18">
      <c r="A74" s="632">
        <v>23</v>
      </c>
      <c r="B74" s="806" t="s">
        <v>257</v>
      </c>
      <c r="C74" s="719"/>
      <c r="D74" s="719"/>
      <c r="E74" s="719"/>
      <c r="F74" s="720"/>
      <c r="G74" s="720"/>
      <c r="H74" s="704"/>
      <c r="I74" s="704"/>
      <c r="J74" s="704"/>
      <c r="K74" s="704"/>
      <c r="L74" s="704"/>
      <c r="M74" s="704"/>
      <c r="N74" s="704"/>
      <c r="O74" s="698">
        <f>O75</f>
        <v>142.13999999999999</v>
      </c>
      <c r="P74" s="700">
        <v>0</v>
      </c>
      <c r="Q74" s="700">
        <v>0</v>
      </c>
      <c r="R74" s="645">
        <f t="shared" ref="R74:R87" si="2">O74-P74-Q74</f>
        <v>142.13999999999999</v>
      </c>
      <c r="S74" s="661">
        <f>R74</f>
        <v>142.13999999999999</v>
      </c>
    </row>
    <row r="75" spans="1:19" ht="18">
      <c r="A75" s="632"/>
      <c r="B75" s="842" t="s">
        <v>356</v>
      </c>
      <c r="C75" s="707">
        <v>0</v>
      </c>
      <c r="D75" s="707">
        <v>0</v>
      </c>
      <c r="E75" s="707">
        <v>50</v>
      </c>
      <c r="F75" s="843">
        <v>6209.9530000000004</v>
      </c>
      <c r="G75" s="843">
        <v>6651.1580000000004</v>
      </c>
      <c r="H75" s="843">
        <v>4891.5</v>
      </c>
      <c r="I75" s="843">
        <v>72.31</v>
      </c>
      <c r="J75" s="843">
        <v>77.230999999999995</v>
      </c>
      <c r="K75" s="843">
        <v>80.3</v>
      </c>
      <c r="L75" s="843">
        <v>256.38299999999998</v>
      </c>
      <c r="M75" s="843">
        <v>27.896999999999998</v>
      </c>
      <c r="N75" s="843">
        <v>0</v>
      </c>
      <c r="O75" s="707">
        <f>SUM(F75:H75)*C75/100+SUM(I75:K75)*D75/100+SUM(L75:N75)*E75/100</f>
        <v>142.13999999999999</v>
      </c>
      <c r="P75" s="703"/>
      <c r="Q75" s="703"/>
      <c r="R75" s="645"/>
      <c r="S75" s="652"/>
    </row>
    <row r="76" spans="1:19" ht="18">
      <c r="A76" s="632"/>
      <c r="B76" s="829" t="s">
        <v>300</v>
      </c>
      <c r="C76" s="698"/>
      <c r="D76" s="698"/>
      <c r="E76" s="698"/>
      <c r="F76" s="704"/>
      <c r="G76" s="704"/>
      <c r="H76" s="704"/>
      <c r="I76" s="704"/>
      <c r="J76" s="704"/>
      <c r="K76" s="704"/>
      <c r="L76" s="704"/>
      <c r="M76" s="704"/>
      <c r="N76" s="704"/>
      <c r="O76" s="721">
        <f>SUM(O77)</f>
        <v>566.93499999999995</v>
      </c>
      <c r="P76" s="700">
        <v>0</v>
      </c>
      <c r="Q76" s="700">
        <v>0</v>
      </c>
      <c r="R76" s="645">
        <f t="shared" si="2"/>
        <v>566.93499999999995</v>
      </c>
      <c r="S76" s="661">
        <f>R76</f>
        <v>566.93499999999995</v>
      </c>
    </row>
    <row r="77" spans="1:19" ht="18">
      <c r="A77" s="632"/>
      <c r="B77" s="842" t="s">
        <v>277</v>
      </c>
      <c r="C77" s="707">
        <v>0</v>
      </c>
      <c r="D77" s="707">
        <v>0</v>
      </c>
      <c r="E77" s="707">
        <v>10</v>
      </c>
      <c r="F77" s="843">
        <v>13645.062</v>
      </c>
      <c r="G77" s="843">
        <v>15242.8</v>
      </c>
      <c r="H77" s="843">
        <v>9677.7999999999993</v>
      </c>
      <c r="I77" s="843">
        <v>216.84</v>
      </c>
      <c r="J77" s="843">
        <v>225.6</v>
      </c>
      <c r="K77" s="843">
        <v>203.6</v>
      </c>
      <c r="L77" s="843">
        <v>1713.35</v>
      </c>
      <c r="M77" s="843">
        <v>1888.1</v>
      </c>
      <c r="N77" s="843">
        <v>2067.9</v>
      </c>
      <c r="O77" s="707">
        <f>SUM(F77:H77)*C77/100+SUM(I77:K77)*D77/100+SUM(L77:N77)*E77/100</f>
        <v>566.93499999999995</v>
      </c>
      <c r="P77" s="703"/>
      <c r="Q77" s="703"/>
      <c r="R77" s="645"/>
      <c r="S77" s="652"/>
    </row>
    <row r="78" spans="1:19" ht="18">
      <c r="A78" s="632"/>
      <c r="B78" s="830" t="s">
        <v>301</v>
      </c>
      <c r="C78" s="722"/>
      <c r="D78" s="722"/>
      <c r="E78" s="722"/>
      <c r="F78" s="723"/>
      <c r="G78" s="723"/>
      <c r="H78" s="723"/>
      <c r="I78" s="723"/>
      <c r="J78" s="723"/>
      <c r="K78" s="723"/>
      <c r="L78" s="723"/>
      <c r="M78" s="723"/>
      <c r="N78" s="723"/>
      <c r="O78" s="724">
        <f>O79</f>
        <v>10251.9</v>
      </c>
      <c r="P78" s="725">
        <f>SUM(P79)</f>
        <v>4041.6</v>
      </c>
      <c r="Q78" s="725">
        <f>SUM(Q79)</f>
        <v>0</v>
      </c>
      <c r="R78" s="645">
        <f>R79</f>
        <v>6210.2999999999993</v>
      </c>
      <c r="S78" s="652"/>
    </row>
    <row r="79" spans="1:19" ht="18.600000000000001" thickBot="1">
      <c r="A79" s="632">
        <v>24</v>
      </c>
      <c r="B79" s="831" t="s">
        <v>302</v>
      </c>
      <c r="C79" s="657"/>
      <c r="D79" s="657"/>
      <c r="E79" s="657"/>
      <c r="F79" s="681"/>
      <c r="G79" s="681"/>
      <c r="H79" s="681"/>
      <c r="I79" s="681"/>
      <c r="J79" s="681"/>
      <c r="K79" s="681"/>
      <c r="L79" s="681"/>
      <c r="M79" s="681"/>
      <c r="N79" s="681"/>
      <c r="O79" s="657">
        <f>SUM(O80+O81)</f>
        <v>10251.9</v>
      </c>
      <c r="P79" s="726">
        <v>4041.6</v>
      </c>
      <c r="Q79" s="727">
        <v>0</v>
      </c>
      <c r="R79" s="645">
        <f t="shared" si="2"/>
        <v>6210.2999999999993</v>
      </c>
      <c r="S79" s="661">
        <f>R79</f>
        <v>6210.2999999999993</v>
      </c>
    </row>
    <row r="80" spans="1:19" ht="18">
      <c r="A80" s="632"/>
      <c r="B80" s="832" t="s">
        <v>282</v>
      </c>
      <c r="C80" s="647">
        <v>100</v>
      </c>
      <c r="D80" s="647">
        <v>100</v>
      </c>
      <c r="E80" s="647">
        <v>100</v>
      </c>
      <c r="F80" s="648">
        <v>98</v>
      </c>
      <c r="G80" s="648">
        <v>107</v>
      </c>
      <c r="H80" s="648">
        <v>107</v>
      </c>
      <c r="I80" s="648">
        <v>3475</v>
      </c>
      <c r="J80" s="648">
        <v>2790</v>
      </c>
      <c r="K80" s="648">
        <v>2342</v>
      </c>
      <c r="L80" s="649">
        <v>0</v>
      </c>
      <c r="M80" s="649">
        <v>0</v>
      </c>
      <c r="N80" s="649">
        <v>0</v>
      </c>
      <c r="O80" s="649">
        <f>SUM(F80:H80)*C80/100+SUM(I80:K80)*D80/100+SUM(L80:N80)*E80/100</f>
        <v>8919</v>
      </c>
      <c r="P80" s="703"/>
      <c r="Q80" s="703"/>
      <c r="R80" s="645"/>
      <c r="S80" s="652"/>
    </row>
    <row r="81" spans="1:19" ht="18">
      <c r="A81" s="632"/>
      <c r="B81" s="845" t="s">
        <v>283</v>
      </c>
      <c r="C81" s="844">
        <v>0</v>
      </c>
      <c r="D81" s="844">
        <v>15</v>
      </c>
      <c r="E81" s="844">
        <v>100</v>
      </c>
      <c r="F81" s="846">
        <v>2125</v>
      </c>
      <c r="G81" s="846">
        <v>870</v>
      </c>
      <c r="H81" s="846">
        <v>2410</v>
      </c>
      <c r="I81" s="846">
        <v>2086</v>
      </c>
      <c r="J81" s="846">
        <v>2630</v>
      </c>
      <c r="K81" s="846">
        <v>4170</v>
      </c>
      <c r="L81" s="847">
        <v>0</v>
      </c>
      <c r="M81" s="847">
        <v>0</v>
      </c>
      <c r="N81" s="847">
        <v>0</v>
      </c>
      <c r="O81" s="847">
        <f>SUM(F81:H81)*C81/100+SUM(I81:K81)*D81/100+SUM(L81:N81)*E81/100</f>
        <v>1332.9</v>
      </c>
      <c r="P81" s="703"/>
      <c r="Q81" s="703"/>
      <c r="R81" s="645"/>
      <c r="S81" s="652"/>
    </row>
    <row r="82" spans="1:19" ht="18">
      <c r="A82" s="632"/>
      <c r="B82" s="833" t="s">
        <v>303</v>
      </c>
      <c r="C82" s="728"/>
      <c r="D82" s="728"/>
      <c r="E82" s="728"/>
      <c r="F82" s="729"/>
      <c r="G82" s="729"/>
      <c r="H82" s="729"/>
      <c r="I82" s="729"/>
      <c r="J82" s="729"/>
      <c r="K82" s="729"/>
      <c r="L82" s="729"/>
      <c r="M82" s="729"/>
      <c r="N82" s="729"/>
      <c r="O82" s="728">
        <f>O83+O86+O89</f>
        <v>12593.269</v>
      </c>
      <c r="P82" s="730">
        <f>P83+P86+P89</f>
        <v>975.6</v>
      </c>
      <c r="Q82" s="730">
        <f>Q83+Q86+Q89</f>
        <v>0</v>
      </c>
      <c r="R82" s="645">
        <f t="shared" si="2"/>
        <v>11617.669</v>
      </c>
      <c r="S82" s="652"/>
    </row>
    <row r="83" spans="1:19" ht="18">
      <c r="A83" s="632">
        <v>25</v>
      </c>
      <c r="B83" s="834" t="s">
        <v>261</v>
      </c>
      <c r="C83" s="731"/>
      <c r="D83" s="731"/>
      <c r="E83" s="731"/>
      <c r="F83" s="732"/>
      <c r="G83" s="732"/>
      <c r="H83" s="732"/>
      <c r="I83" s="732"/>
      <c r="J83" s="732"/>
      <c r="K83" s="732"/>
      <c r="L83" s="732"/>
      <c r="M83" s="732"/>
      <c r="N83" s="732"/>
      <c r="O83" s="731">
        <f>O84+O85</f>
        <v>1155.5999999999999</v>
      </c>
      <c r="P83" s="733">
        <v>0</v>
      </c>
      <c r="Q83" s="733">
        <v>0</v>
      </c>
      <c r="R83" s="645">
        <f t="shared" si="2"/>
        <v>1155.5999999999999</v>
      </c>
      <c r="S83" s="661">
        <f>R83</f>
        <v>1155.5999999999999</v>
      </c>
    </row>
    <row r="84" spans="1:19" ht="18">
      <c r="A84" s="632"/>
      <c r="B84" s="835" t="s">
        <v>357</v>
      </c>
      <c r="C84" s="734">
        <v>100</v>
      </c>
      <c r="D84" s="734">
        <v>50</v>
      </c>
      <c r="E84" s="734">
        <v>100</v>
      </c>
      <c r="F84" s="735">
        <v>0</v>
      </c>
      <c r="G84" s="736">
        <v>0</v>
      </c>
      <c r="H84" s="736">
        <v>133.1</v>
      </c>
      <c r="I84" s="736">
        <v>460.8</v>
      </c>
      <c r="J84" s="736">
        <v>0</v>
      </c>
      <c r="K84" s="736">
        <v>1584.2</v>
      </c>
      <c r="L84" s="736">
        <v>0</v>
      </c>
      <c r="M84" s="736">
        <v>0</v>
      </c>
      <c r="N84" s="736">
        <v>0</v>
      </c>
      <c r="O84" s="736">
        <f>SUM(F84:H84)*C84/100+SUM(I84:K84)*D84/100+SUM(L84:N84)*E84/100</f>
        <v>1155.5999999999999</v>
      </c>
      <c r="P84" s="737"/>
      <c r="Q84" s="737"/>
      <c r="R84" s="645"/>
      <c r="S84" s="683"/>
    </row>
    <row r="85" spans="1:19" ht="18">
      <c r="A85" s="632"/>
      <c r="B85" s="835" t="s">
        <v>285</v>
      </c>
      <c r="C85" s="734">
        <v>100</v>
      </c>
      <c r="D85" s="734">
        <v>70</v>
      </c>
      <c r="E85" s="734">
        <v>100</v>
      </c>
      <c r="F85" s="736">
        <v>0</v>
      </c>
      <c r="G85" s="736">
        <v>0</v>
      </c>
      <c r="H85" s="736">
        <v>0</v>
      </c>
      <c r="I85" s="736">
        <v>0</v>
      </c>
      <c r="J85" s="736">
        <v>0</v>
      </c>
      <c r="K85" s="736">
        <v>0</v>
      </c>
      <c r="L85" s="736">
        <v>0</v>
      </c>
      <c r="M85" s="736">
        <v>0</v>
      </c>
      <c r="N85" s="736">
        <v>0</v>
      </c>
      <c r="O85" s="736">
        <f>SUM(F85:H85)*C85/100+SUM(I85:K85)*D85/100+SUM(L85:N85)*E85/100</f>
        <v>0</v>
      </c>
      <c r="P85" s="737"/>
      <c r="Q85" s="737"/>
      <c r="R85" s="645"/>
      <c r="S85" s="652"/>
    </row>
    <row r="86" spans="1:19" ht="18">
      <c r="A86" s="632">
        <v>26</v>
      </c>
      <c r="B86" s="834" t="s">
        <v>335</v>
      </c>
      <c r="C86" s="731"/>
      <c r="D86" s="731"/>
      <c r="E86" s="731"/>
      <c r="F86" s="738"/>
      <c r="G86" s="738"/>
      <c r="H86" s="738"/>
      <c r="I86" s="738"/>
      <c r="J86" s="738"/>
      <c r="K86" s="738"/>
      <c r="L86" s="738"/>
      <c r="M86" s="738"/>
      <c r="N86" s="738"/>
      <c r="O86" s="731">
        <f>O87+O88</f>
        <v>1022.5</v>
      </c>
      <c r="P86" s="739">
        <v>0</v>
      </c>
      <c r="Q86" s="739">
        <v>0</v>
      </c>
      <c r="R86" s="645">
        <f t="shared" si="2"/>
        <v>1022.5</v>
      </c>
      <c r="S86" s="661">
        <f>R86</f>
        <v>1022.5</v>
      </c>
    </row>
    <row r="87" spans="1:19" ht="18">
      <c r="A87" s="632"/>
      <c r="B87" s="835" t="s">
        <v>357</v>
      </c>
      <c r="C87" s="734">
        <v>0</v>
      </c>
      <c r="D87" s="734">
        <v>50</v>
      </c>
      <c r="E87" s="734">
        <v>0</v>
      </c>
      <c r="F87" s="735">
        <v>0</v>
      </c>
      <c r="G87" s="736">
        <v>0</v>
      </c>
      <c r="H87" s="736">
        <v>133.1</v>
      </c>
      <c r="I87" s="736">
        <v>460.8</v>
      </c>
      <c r="J87" s="736">
        <v>0</v>
      </c>
      <c r="K87" s="736">
        <v>1584.2</v>
      </c>
      <c r="L87" s="736">
        <v>0</v>
      </c>
      <c r="M87" s="736">
        <v>0</v>
      </c>
      <c r="N87" s="736">
        <v>0</v>
      </c>
      <c r="O87" s="736">
        <f>SUM(F87:H87)*C87/100+SUM(I87:K87)*D87/100+SUM(L87:N87)*E87/100</f>
        <v>1022.5</v>
      </c>
      <c r="P87" s="737"/>
      <c r="Q87" s="737"/>
      <c r="R87" s="645">
        <f t="shared" si="2"/>
        <v>1022.5</v>
      </c>
      <c r="S87" s="652"/>
    </row>
    <row r="88" spans="1:19" ht="18">
      <c r="A88" s="632"/>
      <c r="B88" s="835" t="s">
        <v>285</v>
      </c>
      <c r="C88" s="734">
        <v>0</v>
      </c>
      <c r="D88" s="734">
        <v>30</v>
      </c>
      <c r="E88" s="734">
        <v>0</v>
      </c>
      <c r="F88" s="736">
        <v>0</v>
      </c>
      <c r="G88" s="736">
        <v>0</v>
      </c>
      <c r="H88" s="736">
        <v>0</v>
      </c>
      <c r="I88" s="736">
        <v>0</v>
      </c>
      <c r="J88" s="736">
        <v>0</v>
      </c>
      <c r="K88" s="736">
        <v>0</v>
      </c>
      <c r="L88" s="736">
        <v>0</v>
      </c>
      <c r="M88" s="736">
        <v>0</v>
      </c>
      <c r="N88" s="736">
        <v>0</v>
      </c>
      <c r="O88" s="736">
        <f>SUM(F88:H88)*C88/100+SUM(I88:K88)*D88/100+SUM(L88:N88)*E88/100</f>
        <v>0</v>
      </c>
      <c r="P88" s="737"/>
      <c r="Q88" s="737"/>
      <c r="R88" s="740"/>
      <c r="S88" s="652"/>
    </row>
    <row r="89" spans="1:19" ht="18">
      <c r="A89" s="632">
        <v>27</v>
      </c>
      <c r="B89" s="834" t="s">
        <v>263</v>
      </c>
      <c r="C89" s="731"/>
      <c r="D89" s="731"/>
      <c r="E89" s="731"/>
      <c r="F89" s="738"/>
      <c r="G89" s="738"/>
      <c r="H89" s="738"/>
      <c r="I89" s="738"/>
      <c r="J89" s="738"/>
      <c r="K89" s="738"/>
      <c r="L89" s="738"/>
      <c r="M89" s="738"/>
      <c r="N89" s="738"/>
      <c r="O89" s="731">
        <f>O90+O91</f>
        <v>10415.169</v>
      </c>
      <c r="P89" s="741">
        <v>975.6</v>
      </c>
      <c r="Q89" s="741">
        <v>0</v>
      </c>
      <c r="R89" s="742">
        <f>O89-P89-Q89</f>
        <v>9439.5689999999995</v>
      </c>
      <c r="S89" s="661">
        <f>R89</f>
        <v>9439.5689999999995</v>
      </c>
    </row>
    <row r="90" spans="1:19" ht="18">
      <c r="A90" s="632"/>
      <c r="B90" s="835" t="s">
        <v>325</v>
      </c>
      <c r="C90" s="734">
        <v>100</v>
      </c>
      <c r="D90" s="734">
        <v>100</v>
      </c>
      <c r="E90" s="734">
        <v>100</v>
      </c>
      <c r="F90" s="736">
        <v>0</v>
      </c>
      <c r="G90" s="736">
        <v>0</v>
      </c>
      <c r="H90" s="736">
        <v>0</v>
      </c>
      <c r="I90" s="736">
        <v>1588.5</v>
      </c>
      <c r="J90" s="736">
        <v>1957.9</v>
      </c>
      <c r="K90" s="736">
        <v>6416.5</v>
      </c>
      <c r="L90" s="736">
        <v>0</v>
      </c>
      <c r="M90" s="736">
        <v>0</v>
      </c>
      <c r="N90" s="736">
        <v>0</v>
      </c>
      <c r="O90" s="743">
        <f>SUM(F90:H90)*C90/100+SUM(I90:K90)*D90/100+SUM(L90:N90)*E90/100</f>
        <v>9962.9</v>
      </c>
      <c r="P90" s="744"/>
      <c r="Q90" s="744"/>
      <c r="R90" s="740"/>
      <c r="S90" s="652"/>
    </row>
    <row r="91" spans="1:19" ht="18">
      <c r="A91" s="632"/>
      <c r="B91" s="836" t="s">
        <v>287</v>
      </c>
      <c r="C91" s="734">
        <v>100</v>
      </c>
      <c r="D91" s="734">
        <v>100</v>
      </c>
      <c r="E91" s="734">
        <v>100</v>
      </c>
      <c r="F91" s="736">
        <v>0</v>
      </c>
      <c r="G91" s="736">
        <v>0</v>
      </c>
      <c r="H91" s="736">
        <v>0</v>
      </c>
      <c r="I91" s="736">
        <v>98.168999999999997</v>
      </c>
      <c r="J91" s="736">
        <v>185.8</v>
      </c>
      <c r="K91" s="736">
        <v>168.3</v>
      </c>
      <c r="L91" s="736">
        <v>0</v>
      </c>
      <c r="M91" s="736">
        <v>0</v>
      </c>
      <c r="N91" s="736">
        <v>0</v>
      </c>
      <c r="O91" s="743">
        <f>SUM(F91:H91)*C91/100+SUM(I91:K91)*D91/100+SUM(L91:N91)*E91/100</f>
        <v>452.26900000000001</v>
      </c>
      <c r="P91" s="744"/>
      <c r="Q91" s="744"/>
      <c r="R91" s="740"/>
      <c r="S91" s="652"/>
    </row>
    <row r="92" spans="1:19" ht="18">
      <c r="A92" s="632"/>
      <c r="B92" s="837" t="s">
        <v>304</v>
      </c>
      <c r="C92" s="745"/>
      <c r="D92" s="745"/>
      <c r="E92" s="745"/>
      <c r="F92" s="746"/>
      <c r="G92" s="746"/>
      <c r="H92" s="746"/>
      <c r="I92" s="746"/>
      <c r="J92" s="746"/>
      <c r="K92" s="746"/>
      <c r="L92" s="746"/>
      <c r="M92" s="746"/>
      <c r="N92" s="746"/>
      <c r="O92" s="745">
        <f>O93</f>
        <v>4997.2675000000008</v>
      </c>
      <c r="P92" s="747">
        <f>P93</f>
        <v>0</v>
      </c>
      <c r="Q92" s="747">
        <f>Q93</f>
        <v>0</v>
      </c>
      <c r="R92" s="748">
        <f>R93</f>
        <v>4997.2675000000008</v>
      </c>
      <c r="S92" s="749"/>
    </row>
    <row r="93" spans="1:19" ht="18">
      <c r="A93" s="632">
        <v>28</v>
      </c>
      <c r="B93" s="838" t="s">
        <v>264</v>
      </c>
      <c r="C93" s="750"/>
      <c r="D93" s="750"/>
      <c r="E93" s="750"/>
      <c r="F93" s="751"/>
      <c r="G93" s="751"/>
      <c r="H93" s="751"/>
      <c r="I93" s="751"/>
      <c r="J93" s="751"/>
      <c r="K93" s="751"/>
      <c r="L93" s="751"/>
      <c r="M93" s="751"/>
      <c r="N93" s="751"/>
      <c r="O93" s="752">
        <f>O94</f>
        <v>4997.2675000000008</v>
      </c>
      <c r="P93" s="753">
        <v>0</v>
      </c>
      <c r="Q93" s="753">
        <v>0</v>
      </c>
      <c r="R93" s="754">
        <f>O93-P93-Q93</f>
        <v>4997.2675000000008</v>
      </c>
      <c r="S93" s="661">
        <f>R93</f>
        <v>4997.2675000000008</v>
      </c>
    </row>
    <row r="94" spans="1:19" ht="18">
      <c r="A94" s="632"/>
      <c r="B94" s="839" t="s">
        <v>326</v>
      </c>
      <c r="C94" s="755">
        <v>100</v>
      </c>
      <c r="D94" s="755">
        <v>100</v>
      </c>
      <c r="E94" s="755">
        <v>100</v>
      </c>
      <c r="F94" s="756">
        <v>1635.0867000000001</v>
      </c>
      <c r="G94" s="756">
        <v>1488.1836000000001</v>
      </c>
      <c r="H94" s="756">
        <v>1253.5999999999999</v>
      </c>
      <c r="I94" s="756">
        <v>31.134399999999999</v>
      </c>
      <c r="J94" s="756">
        <v>47.101100000000002</v>
      </c>
      <c r="K94" s="756">
        <v>22.1</v>
      </c>
      <c r="L94" s="756">
        <v>123.44589999999999</v>
      </c>
      <c r="M94" s="756">
        <v>153.91579999999999</v>
      </c>
      <c r="N94" s="756">
        <v>242.7</v>
      </c>
      <c r="O94" s="757">
        <f>SUM(F94:H94)*C94/100+SUM(I94:K94)*D94/100+SUM(L94:N94)*E94/100</f>
        <v>4997.2675000000008</v>
      </c>
      <c r="P94" s="758"/>
      <c r="Q94" s="759"/>
      <c r="R94" s="760"/>
      <c r="S94" s="652"/>
    </row>
    <row r="95" spans="1:19" ht="18">
      <c r="A95" s="632"/>
      <c r="B95" s="840" t="s">
        <v>305</v>
      </c>
      <c r="C95" s="761"/>
      <c r="D95" s="761"/>
      <c r="E95" s="761"/>
      <c r="F95" s="762"/>
      <c r="G95" s="762"/>
      <c r="H95" s="762"/>
      <c r="I95" s="762"/>
      <c r="J95" s="762"/>
      <c r="K95" s="762"/>
      <c r="L95" s="762"/>
      <c r="M95" s="762"/>
      <c r="N95" s="762"/>
      <c r="O95" s="763">
        <f>O96</f>
        <v>12958.1</v>
      </c>
      <c r="P95" s="764">
        <f>P96</f>
        <v>0</v>
      </c>
      <c r="Q95" s="764">
        <f>Q96</f>
        <v>0</v>
      </c>
      <c r="R95" s="765">
        <f>R96</f>
        <v>12958.1</v>
      </c>
      <c r="S95" s="766"/>
    </row>
    <row r="96" spans="1:19" ht="18">
      <c r="A96" s="632">
        <v>29</v>
      </c>
      <c r="B96" s="841" t="s">
        <v>267</v>
      </c>
      <c r="C96" s="767"/>
      <c r="D96" s="767"/>
      <c r="E96" s="767"/>
      <c r="F96" s="768"/>
      <c r="G96" s="768"/>
      <c r="H96" s="768"/>
      <c r="I96" s="768"/>
      <c r="J96" s="768"/>
      <c r="K96" s="768"/>
      <c r="L96" s="768"/>
      <c r="M96" s="768"/>
      <c r="N96" s="768"/>
      <c r="O96" s="769">
        <f>O97</f>
        <v>12958.1</v>
      </c>
      <c r="P96" s="770">
        <v>0</v>
      </c>
      <c r="Q96" s="770">
        <v>0</v>
      </c>
      <c r="R96" s="771">
        <f>O96-P96-Q96</f>
        <v>12958.1</v>
      </c>
      <c r="S96" s="661">
        <f>R96</f>
        <v>12958.1</v>
      </c>
    </row>
    <row r="97" spans="1:19" ht="18">
      <c r="A97" s="632"/>
      <c r="B97" s="848" t="s">
        <v>283</v>
      </c>
      <c r="C97" s="849">
        <v>100</v>
      </c>
      <c r="D97" s="849">
        <v>85</v>
      </c>
      <c r="E97" s="849">
        <v>0</v>
      </c>
      <c r="F97" s="850">
        <v>2125</v>
      </c>
      <c r="G97" s="850">
        <v>870</v>
      </c>
      <c r="H97" s="850">
        <v>2410</v>
      </c>
      <c r="I97" s="850">
        <v>2086</v>
      </c>
      <c r="J97" s="850">
        <v>2630</v>
      </c>
      <c r="K97" s="850">
        <v>4170</v>
      </c>
      <c r="L97" s="850">
        <v>0</v>
      </c>
      <c r="M97" s="850">
        <v>0</v>
      </c>
      <c r="N97" s="850">
        <v>0</v>
      </c>
      <c r="O97" s="849">
        <f>SUM(F97:H97)*C97/100+SUM(I97:K97)*D97/100+SUM(L97:N97)*E97/100</f>
        <v>12958.1</v>
      </c>
      <c r="P97" s="772"/>
      <c r="Q97" s="772"/>
      <c r="R97" s="773"/>
      <c r="S97" s="652"/>
    </row>
    <row r="98" spans="1:19" ht="25.5" customHeight="1">
      <c r="A98" s="633"/>
      <c r="B98" s="807" t="s">
        <v>306</v>
      </c>
      <c r="C98" s="775"/>
      <c r="D98" s="775"/>
      <c r="E98" s="775"/>
      <c r="F98" s="776"/>
      <c r="G98" s="776"/>
      <c r="H98" s="776"/>
      <c r="I98" s="776"/>
      <c r="J98" s="776"/>
      <c r="K98" s="776"/>
      <c r="L98" s="776"/>
      <c r="M98" s="776"/>
      <c r="N98" s="776"/>
      <c r="O98" s="777"/>
      <c r="P98" s="777"/>
      <c r="Q98" s="777"/>
      <c r="R98" s="748">
        <f>R99+R102+R105+R108+R111+R114+R117+R120+R123+R126</f>
        <v>-4333.9944194999998</v>
      </c>
      <c r="S98" s="633"/>
    </row>
    <row r="99" spans="1:19" ht="25.5" hidden="1" customHeight="1">
      <c r="A99" s="633"/>
      <c r="B99" s="808" t="s">
        <v>336</v>
      </c>
      <c r="C99" s="779"/>
      <c r="D99" s="779"/>
      <c r="E99" s="779"/>
      <c r="F99" s="780"/>
      <c r="G99" s="780"/>
      <c r="H99" s="780"/>
      <c r="I99" s="780"/>
      <c r="J99" s="780"/>
      <c r="K99" s="780"/>
      <c r="L99" s="780"/>
      <c r="M99" s="780"/>
      <c r="N99" s="780"/>
      <c r="O99" s="781">
        <f>O100+O101</f>
        <v>0</v>
      </c>
      <c r="P99" s="782">
        <v>0</v>
      </c>
      <c r="Q99" s="782">
        <v>0</v>
      </c>
      <c r="R99" s="771">
        <f>O99-P99-Q99</f>
        <v>0</v>
      </c>
      <c r="S99" s="633"/>
    </row>
    <row r="100" spans="1:19" ht="25.5" hidden="1" customHeight="1">
      <c r="A100" s="633"/>
      <c r="B100" s="809" t="s">
        <v>348</v>
      </c>
      <c r="C100" s="784">
        <v>0</v>
      </c>
      <c r="D100" s="784">
        <v>0</v>
      </c>
      <c r="E100" s="784">
        <v>0</v>
      </c>
      <c r="F100" s="785">
        <v>1217.0999999999999</v>
      </c>
      <c r="G100" s="785">
        <v>1979.2322999999999</v>
      </c>
      <c r="H100" s="786">
        <v>5816.6</v>
      </c>
      <c r="I100" s="785">
        <v>104141.8</v>
      </c>
      <c r="J100" s="785">
        <v>84014.182400000005</v>
      </c>
      <c r="K100" s="786">
        <v>112355.49</v>
      </c>
      <c r="L100" s="787">
        <v>0</v>
      </c>
      <c r="M100" s="787">
        <v>0</v>
      </c>
      <c r="N100" s="786">
        <v>0</v>
      </c>
      <c r="O100" s="788">
        <f>SUM(F100:H100)*C100/100+SUM(I100:K100)*D100/100+SUM(L100:N100)*E100/100</f>
        <v>0</v>
      </c>
      <c r="P100" s="789"/>
      <c r="Q100" s="789"/>
      <c r="R100" s="790"/>
      <c r="S100" s="633"/>
    </row>
    <row r="101" spans="1:19" ht="25.5" hidden="1" customHeight="1">
      <c r="A101" s="633"/>
      <c r="B101" s="809" t="s">
        <v>72</v>
      </c>
      <c r="C101" s="784">
        <v>0</v>
      </c>
      <c r="D101" s="784">
        <v>0</v>
      </c>
      <c r="E101" s="784">
        <v>0</v>
      </c>
      <c r="F101" s="787">
        <v>1497.8</v>
      </c>
      <c r="G101" s="787">
        <v>3744.2750000000001</v>
      </c>
      <c r="H101" s="786">
        <v>2995.3</v>
      </c>
      <c r="I101" s="787">
        <v>14</v>
      </c>
      <c r="J101" s="787">
        <v>35.393999999999998</v>
      </c>
      <c r="K101" s="786">
        <v>30.146000000000001</v>
      </c>
      <c r="L101" s="787">
        <v>0</v>
      </c>
      <c r="M101" s="787">
        <v>0</v>
      </c>
      <c r="N101" s="786">
        <v>0</v>
      </c>
      <c r="O101" s="788">
        <f>SUM(F101:H101)*C101/100+SUM(I101:K101)*D101/100+SUM(L101:N101)*E101/100</f>
        <v>0</v>
      </c>
      <c r="P101" s="789"/>
      <c r="Q101" s="789"/>
      <c r="R101" s="790"/>
      <c r="S101" s="633"/>
    </row>
    <row r="102" spans="1:19" ht="25.5" hidden="1" customHeight="1">
      <c r="A102" s="633"/>
      <c r="B102" s="808" t="s">
        <v>337</v>
      </c>
      <c r="C102" s="779"/>
      <c r="D102" s="779"/>
      <c r="E102" s="779"/>
      <c r="F102" s="780"/>
      <c r="G102" s="780"/>
      <c r="H102" s="780"/>
      <c r="I102" s="780"/>
      <c r="J102" s="780"/>
      <c r="K102" s="780"/>
      <c r="L102" s="780"/>
      <c r="M102" s="780"/>
      <c r="N102" s="780"/>
      <c r="O102" s="781">
        <f>O103+O104</f>
        <v>0</v>
      </c>
      <c r="P102" s="782">
        <v>0</v>
      </c>
      <c r="Q102" s="782">
        <v>0</v>
      </c>
      <c r="R102" s="771">
        <f>O102-P102-Q102</f>
        <v>0</v>
      </c>
      <c r="S102" s="633"/>
    </row>
    <row r="103" spans="1:19" ht="25.5" hidden="1" customHeight="1">
      <c r="A103" s="633"/>
      <c r="B103" s="809" t="s">
        <v>348</v>
      </c>
      <c r="C103" s="784">
        <v>0</v>
      </c>
      <c r="D103" s="784">
        <v>0</v>
      </c>
      <c r="E103" s="784">
        <v>0</v>
      </c>
      <c r="F103" s="785">
        <v>1217.0999999999999</v>
      </c>
      <c r="G103" s="785">
        <v>1979.2322999999999</v>
      </c>
      <c r="H103" s="786">
        <v>5816.6</v>
      </c>
      <c r="I103" s="785">
        <v>104141.8</v>
      </c>
      <c r="J103" s="785">
        <v>84014.182400000005</v>
      </c>
      <c r="K103" s="786">
        <v>112355.49</v>
      </c>
      <c r="L103" s="787">
        <v>0</v>
      </c>
      <c r="M103" s="787">
        <v>0</v>
      </c>
      <c r="N103" s="786">
        <v>0</v>
      </c>
      <c r="O103" s="788">
        <f>SUM(F103:H103)*C103/100+SUM(I103:K103)*D103/100+SUM(L103:N103)*E103/100</f>
        <v>0</v>
      </c>
      <c r="P103" s="789"/>
      <c r="Q103" s="789"/>
      <c r="R103" s="791"/>
      <c r="S103" s="633"/>
    </row>
    <row r="104" spans="1:19" ht="25.5" hidden="1" customHeight="1">
      <c r="A104" s="633"/>
      <c r="B104" s="809" t="s">
        <v>72</v>
      </c>
      <c r="C104" s="784">
        <v>0</v>
      </c>
      <c r="D104" s="784">
        <v>0</v>
      </c>
      <c r="E104" s="784">
        <v>0</v>
      </c>
      <c r="F104" s="787">
        <v>1497.8</v>
      </c>
      <c r="G104" s="787">
        <v>3744.2750000000001</v>
      </c>
      <c r="H104" s="786">
        <v>2995.3</v>
      </c>
      <c r="I104" s="787">
        <v>14</v>
      </c>
      <c r="J104" s="787">
        <v>35.393999999999998</v>
      </c>
      <c r="K104" s="786">
        <v>30.146000000000001</v>
      </c>
      <c r="L104" s="787">
        <v>0</v>
      </c>
      <c r="M104" s="787">
        <v>0</v>
      </c>
      <c r="N104" s="786">
        <v>0</v>
      </c>
      <c r="O104" s="788">
        <f>SUM(F104:H104)*C104/100+SUM(I104:K104)*D104/100+SUM(L104:N104)*E104/100</f>
        <v>0</v>
      </c>
      <c r="P104" s="789"/>
      <c r="Q104" s="789"/>
      <c r="R104" s="791"/>
      <c r="S104" s="633"/>
    </row>
    <row r="105" spans="1:19" ht="25.5" hidden="1" customHeight="1">
      <c r="A105" s="633"/>
      <c r="B105" s="808" t="s">
        <v>338</v>
      </c>
      <c r="C105" s="779"/>
      <c r="D105" s="779"/>
      <c r="E105" s="779"/>
      <c r="F105" s="780"/>
      <c r="G105" s="780"/>
      <c r="H105" s="780"/>
      <c r="I105" s="780"/>
      <c r="J105" s="780"/>
      <c r="K105" s="780"/>
      <c r="L105" s="780"/>
      <c r="M105" s="780"/>
      <c r="N105" s="780"/>
      <c r="O105" s="781">
        <f>O106+O107</f>
        <v>0</v>
      </c>
      <c r="P105" s="782">
        <v>0</v>
      </c>
      <c r="Q105" s="782">
        <v>0</v>
      </c>
      <c r="R105" s="771">
        <f>O105-P105-Q105</f>
        <v>0</v>
      </c>
      <c r="S105" s="633"/>
    </row>
    <row r="106" spans="1:19" ht="25.5" hidden="1" customHeight="1">
      <c r="A106" s="633"/>
      <c r="B106" s="809" t="s">
        <v>348</v>
      </c>
      <c r="C106" s="784">
        <v>0</v>
      </c>
      <c r="D106" s="784">
        <v>0</v>
      </c>
      <c r="E106" s="784">
        <v>0</v>
      </c>
      <c r="F106" s="785">
        <v>1217.0999999999999</v>
      </c>
      <c r="G106" s="785">
        <v>1979.2322999999999</v>
      </c>
      <c r="H106" s="786">
        <v>5816.5684000000001</v>
      </c>
      <c r="I106" s="785">
        <v>104141.8</v>
      </c>
      <c r="J106" s="785">
        <v>84014.182400000005</v>
      </c>
      <c r="K106" s="786">
        <v>112355.49</v>
      </c>
      <c r="L106" s="787">
        <v>0</v>
      </c>
      <c r="M106" s="787">
        <v>0</v>
      </c>
      <c r="N106" s="786">
        <v>0</v>
      </c>
      <c r="O106" s="788">
        <f>SUM(F106:H106)*C106/100+SUM(I106:K106)*D106/100+SUM(L106:N106)*E106/100</f>
        <v>0</v>
      </c>
      <c r="P106" s="789"/>
      <c r="Q106" s="789"/>
      <c r="R106" s="791"/>
      <c r="S106" s="633"/>
    </row>
    <row r="107" spans="1:19" ht="25.5" hidden="1" customHeight="1">
      <c r="A107" s="633"/>
      <c r="B107" s="809" t="s">
        <v>72</v>
      </c>
      <c r="C107" s="784">
        <v>0</v>
      </c>
      <c r="D107" s="784">
        <v>0</v>
      </c>
      <c r="E107" s="784">
        <v>0</v>
      </c>
      <c r="F107" s="787">
        <v>1497.8</v>
      </c>
      <c r="G107" s="787">
        <v>3744.2750000000001</v>
      </c>
      <c r="H107" s="786">
        <v>2995.3</v>
      </c>
      <c r="I107" s="787">
        <v>14</v>
      </c>
      <c r="J107" s="787">
        <v>35.393999999999998</v>
      </c>
      <c r="K107" s="786">
        <v>30.146000000000001</v>
      </c>
      <c r="L107" s="787">
        <v>0</v>
      </c>
      <c r="M107" s="787">
        <v>0</v>
      </c>
      <c r="N107" s="786">
        <v>0</v>
      </c>
      <c r="O107" s="788">
        <f>SUM(F107:H107)*C107/100+SUM(I107:K107)*D107/100+SUM(L107:N107)*E107/100</f>
        <v>0</v>
      </c>
      <c r="P107" s="789"/>
      <c r="Q107" s="789"/>
      <c r="R107" s="791"/>
      <c r="S107" s="633"/>
    </row>
    <row r="108" spans="1:19" ht="25.5" hidden="1" customHeight="1">
      <c r="A108" s="633"/>
      <c r="B108" s="808" t="s">
        <v>339</v>
      </c>
      <c r="C108" s="779"/>
      <c r="D108" s="779"/>
      <c r="E108" s="779"/>
      <c r="F108" s="780"/>
      <c r="G108" s="780"/>
      <c r="H108" s="780"/>
      <c r="I108" s="780"/>
      <c r="J108" s="780"/>
      <c r="K108" s="780"/>
      <c r="L108" s="780"/>
      <c r="M108" s="780"/>
      <c r="N108" s="780"/>
      <c r="O108" s="781">
        <f>O109+O110</f>
        <v>0</v>
      </c>
      <c r="P108" s="782">
        <v>0</v>
      </c>
      <c r="Q108" s="782">
        <v>0</v>
      </c>
      <c r="R108" s="771">
        <f>O108-P108-Q108</f>
        <v>0</v>
      </c>
      <c r="S108" s="633"/>
    </row>
    <row r="109" spans="1:19" ht="25.5" hidden="1" customHeight="1">
      <c r="A109" s="633"/>
      <c r="B109" s="809" t="s">
        <v>348</v>
      </c>
      <c r="C109" s="784">
        <v>0</v>
      </c>
      <c r="D109" s="784">
        <v>0</v>
      </c>
      <c r="E109" s="784">
        <v>0</v>
      </c>
      <c r="F109" s="785">
        <v>1217.0999999999999</v>
      </c>
      <c r="G109" s="785">
        <v>1979.2322999999999</v>
      </c>
      <c r="H109" s="786">
        <v>5816.5684000000001</v>
      </c>
      <c r="I109" s="785">
        <v>104141.8</v>
      </c>
      <c r="J109" s="785">
        <v>84014.182400000005</v>
      </c>
      <c r="K109" s="786">
        <v>112355.49</v>
      </c>
      <c r="L109" s="787">
        <v>0</v>
      </c>
      <c r="M109" s="787">
        <v>0</v>
      </c>
      <c r="N109" s="786">
        <v>0</v>
      </c>
      <c r="O109" s="788">
        <f>SUM(F109:H109)*C109/100+SUM(I109:K109)*D109/100+SUM(L109:N109)*E109/100</f>
        <v>0</v>
      </c>
      <c r="P109" s="789"/>
      <c r="Q109" s="789"/>
      <c r="R109" s="791"/>
      <c r="S109" s="633"/>
    </row>
    <row r="110" spans="1:19" ht="25.5" hidden="1" customHeight="1">
      <c r="A110" s="633"/>
      <c r="B110" s="809" t="s">
        <v>72</v>
      </c>
      <c r="C110" s="784">
        <v>0</v>
      </c>
      <c r="D110" s="784">
        <v>0</v>
      </c>
      <c r="E110" s="784">
        <v>0</v>
      </c>
      <c r="F110" s="787">
        <v>1497.8</v>
      </c>
      <c r="G110" s="787">
        <v>3744.2750000000001</v>
      </c>
      <c r="H110" s="786">
        <v>2995.3</v>
      </c>
      <c r="I110" s="787">
        <v>14</v>
      </c>
      <c r="J110" s="787">
        <v>35.393999999999998</v>
      </c>
      <c r="K110" s="786">
        <v>30.146000000000001</v>
      </c>
      <c r="L110" s="787">
        <v>0</v>
      </c>
      <c r="M110" s="787">
        <v>0</v>
      </c>
      <c r="N110" s="786">
        <v>0</v>
      </c>
      <c r="O110" s="788">
        <f>SUM(F110:H110)*C110/100+SUM(I110:K110)*D110/100+SUM(L110:N110)*E110/100</f>
        <v>0</v>
      </c>
      <c r="P110" s="789"/>
      <c r="Q110" s="789"/>
      <c r="R110" s="791"/>
      <c r="S110" s="633"/>
    </row>
    <row r="111" spans="1:19" ht="25.5" customHeight="1">
      <c r="A111" s="633"/>
      <c r="B111" s="810" t="s">
        <v>340</v>
      </c>
      <c r="C111" s="779"/>
      <c r="D111" s="779"/>
      <c r="E111" s="779"/>
      <c r="F111" s="780"/>
      <c r="G111" s="780"/>
      <c r="H111" s="780"/>
      <c r="I111" s="780"/>
      <c r="J111" s="780"/>
      <c r="K111" s="780"/>
      <c r="L111" s="780"/>
      <c r="M111" s="780"/>
      <c r="N111" s="780"/>
      <c r="O111" s="781">
        <f>O112+O113</f>
        <v>255.744507</v>
      </c>
      <c r="P111" s="782">
        <v>0</v>
      </c>
      <c r="Q111" s="792">
        <v>509.8</v>
      </c>
      <c r="R111" s="791">
        <f>O111-P111-Q111</f>
        <v>-254.05549300000001</v>
      </c>
      <c r="S111" s="793"/>
    </row>
    <row r="112" spans="1:19">
      <c r="A112" s="633"/>
      <c r="B112" s="809" t="s">
        <v>239</v>
      </c>
      <c r="C112" s="794">
        <v>1</v>
      </c>
      <c r="D112" s="794">
        <v>0</v>
      </c>
      <c r="E112" s="794">
        <v>0</v>
      </c>
      <c r="F112" s="787">
        <v>1979.2322999999999</v>
      </c>
      <c r="G112" s="787">
        <v>5816.5684000000001</v>
      </c>
      <c r="H112" s="787">
        <v>2152.9</v>
      </c>
      <c r="I112" s="787">
        <v>84014.182400000005</v>
      </c>
      <c r="J112" s="787">
        <v>112355.5</v>
      </c>
      <c r="K112" s="787">
        <v>95584</v>
      </c>
      <c r="L112" s="787">
        <v>0</v>
      </c>
      <c r="M112" s="787">
        <v>0</v>
      </c>
      <c r="N112" s="786">
        <v>0</v>
      </c>
      <c r="O112" s="788">
        <f>SUM(F112:H112)*C112/100+SUM(I112:K112)*D112/100+SUM(L112:N112)*E112/100</f>
        <v>99.487006999999991</v>
      </c>
      <c r="P112" s="789"/>
      <c r="Q112" s="789"/>
      <c r="R112" s="791"/>
      <c r="S112" s="795"/>
    </row>
    <row r="113" spans="1:19">
      <c r="A113" s="633"/>
      <c r="B113" s="851" t="s">
        <v>355</v>
      </c>
      <c r="C113" s="852">
        <v>2</v>
      </c>
      <c r="D113" s="852">
        <v>0</v>
      </c>
      <c r="E113" s="852">
        <v>0</v>
      </c>
      <c r="F113" s="853">
        <v>3744.2750000000001</v>
      </c>
      <c r="G113" s="853">
        <v>2995.3</v>
      </c>
      <c r="H113" s="853">
        <v>1073.3</v>
      </c>
      <c r="I113" s="853">
        <v>35.393999999999998</v>
      </c>
      <c r="J113" s="853">
        <v>30.1</v>
      </c>
      <c r="K113" s="853">
        <v>361</v>
      </c>
      <c r="L113" s="853">
        <v>0</v>
      </c>
      <c r="M113" s="853">
        <v>0</v>
      </c>
      <c r="N113" s="854">
        <v>0</v>
      </c>
      <c r="O113" s="852">
        <f>SUM(F113:H113)*C113/100+SUM(I113:K113)*D113/100+SUM(L113:N113)*E113/100</f>
        <v>156.25750000000002</v>
      </c>
      <c r="P113" s="789"/>
      <c r="Q113" s="789"/>
      <c r="R113" s="791"/>
      <c r="S113" s="795"/>
    </row>
    <row r="114" spans="1:19" ht="25.5" hidden="1" customHeight="1">
      <c r="A114" s="633"/>
      <c r="B114" s="808" t="s">
        <v>341</v>
      </c>
      <c r="C114" s="779"/>
      <c r="D114" s="779"/>
      <c r="E114" s="779"/>
      <c r="F114" s="780"/>
      <c r="G114" s="780"/>
      <c r="H114" s="780"/>
      <c r="I114" s="780"/>
      <c r="J114" s="780"/>
      <c r="K114" s="780"/>
      <c r="L114" s="780"/>
      <c r="M114" s="780"/>
      <c r="N114" s="780"/>
      <c r="O114" s="781">
        <f>O115+O116</f>
        <v>0</v>
      </c>
      <c r="P114" s="782">
        <v>0</v>
      </c>
      <c r="Q114" s="782">
        <v>0</v>
      </c>
      <c r="R114" s="771">
        <f>O114-P114-Q114</f>
        <v>0</v>
      </c>
      <c r="S114" s="795"/>
    </row>
    <row r="115" spans="1:19" ht="25.5" hidden="1" customHeight="1">
      <c r="A115" s="633"/>
      <c r="B115" s="809" t="s">
        <v>348</v>
      </c>
      <c r="C115" s="784">
        <v>0</v>
      </c>
      <c r="D115" s="784">
        <v>0</v>
      </c>
      <c r="E115" s="784">
        <v>0</v>
      </c>
      <c r="F115" s="785">
        <v>1217.0999999999999</v>
      </c>
      <c r="G115" s="785">
        <v>1979.2322999999999</v>
      </c>
      <c r="H115" s="786">
        <v>5816.5684000000001</v>
      </c>
      <c r="I115" s="785">
        <v>104141.8</v>
      </c>
      <c r="J115" s="785">
        <v>84014.182400000005</v>
      </c>
      <c r="K115" s="786">
        <v>112355.49</v>
      </c>
      <c r="L115" s="787">
        <v>0</v>
      </c>
      <c r="M115" s="787">
        <v>0</v>
      </c>
      <c r="N115" s="786">
        <v>0</v>
      </c>
      <c r="O115" s="788">
        <f>SUM(F115:H115)*C115/100+SUM(I115:K115)*D115/100+SUM(L115:N115)*E115/100</f>
        <v>0</v>
      </c>
      <c r="P115" s="789"/>
      <c r="Q115" s="789"/>
      <c r="R115" s="791"/>
      <c r="S115" s="795"/>
    </row>
    <row r="116" spans="1:19" ht="25.5" hidden="1" customHeight="1">
      <c r="A116" s="633"/>
      <c r="B116" s="809" t="s">
        <v>72</v>
      </c>
      <c r="C116" s="784">
        <v>0</v>
      </c>
      <c r="D116" s="784">
        <v>0</v>
      </c>
      <c r="E116" s="784">
        <v>0</v>
      </c>
      <c r="F116" s="787">
        <v>1497.8</v>
      </c>
      <c r="G116" s="787">
        <v>3744.2750000000001</v>
      </c>
      <c r="H116" s="786">
        <v>2995.3</v>
      </c>
      <c r="I116" s="787">
        <v>14</v>
      </c>
      <c r="J116" s="787">
        <v>35.393999999999998</v>
      </c>
      <c r="K116" s="786">
        <v>30.146000000000001</v>
      </c>
      <c r="L116" s="787">
        <v>0</v>
      </c>
      <c r="M116" s="787">
        <v>0</v>
      </c>
      <c r="N116" s="786">
        <v>0</v>
      </c>
      <c r="O116" s="788">
        <f>SUM(F116:H116)*C116/100+SUM(I116:K116)*D116/100+SUM(L116:N116)*E116/100</f>
        <v>0</v>
      </c>
      <c r="P116" s="789"/>
      <c r="Q116" s="789"/>
      <c r="R116" s="791"/>
      <c r="S116" s="795"/>
    </row>
    <row r="117" spans="1:19" ht="25.5" customHeight="1">
      <c r="A117" s="633"/>
      <c r="B117" s="810" t="s">
        <v>342</v>
      </c>
      <c r="C117" s="779"/>
      <c r="D117" s="779"/>
      <c r="E117" s="779"/>
      <c r="F117" s="780"/>
      <c r="G117" s="780"/>
      <c r="H117" s="780"/>
      <c r="I117" s="780"/>
      <c r="J117" s="780"/>
      <c r="K117" s="780"/>
      <c r="L117" s="780"/>
      <c r="M117" s="780"/>
      <c r="N117" s="780"/>
      <c r="O117" s="781">
        <f>O118+O119</f>
        <v>895.10577450000005</v>
      </c>
      <c r="P117" s="782">
        <v>0</v>
      </c>
      <c r="Q117" s="792">
        <v>1833.1</v>
      </c>
      <c r="R117" s="791">
        <f>O117-P117-Q117</f>
        <v>-937.99422549999986</v>
      </c>
      <c r="S117" s="793"/>
    </row>
    <row r="118" spans="1:19">
      <c r="A118" s="633"/>
      <c r="B118" s="809" t="s">
        <v>239</v>
      </c>
      <c r="C118" s="794">
        <v>3.5</v>
      </c>
      <c r="D118" s="794">
        <v>0</v>
      </c>
      <c r="E118" s="794">
        <v>0</v>
      </c>
      <c r="F118" s="787">
        <v>1979.2322999999999</v>
      </c>
      <c r="G118" s="787">
        <v>5816.5684000000001</v>
      </c>
      <c r="H118" s="787">
        <v>2152.9</v>
      </c>
      <c r="I118" s="787">
        <v>84014.182400000005</v>
      </c>
      <c r="J118" s="787">
        <v>112355.5</v>
      </c>
      <c r="K118" s="787">
        <v>95584</v>
      </c>
      <c r="L118" s="787">
        <v>0</v>
      </c>
      <c r="M118" s="787">
        <v>0</v>
      </c>
      <c r="N118" s="786">
        <v>0</v>
      </c>
      <c r="O118" s="788">
        <f>SUM(F118:H118)*C118/100+SUM(I118:K118)*D118/100+SUM(L118:N118)*E118/100</f>
        <v>348.20452449999999</v>
      </c>
      <c r="P118" s="789"/>
      <c r="Q118" s="789"/>
      <c r="R118" s="791"/>
      <c r="S118" s="795"/>
    </row>
    <row r="119" spans="1:19">
      <c r="A119" s="633"/>
      <c r="B119" s="851" t="s">
        <v>355</v>
      </c>
      <c r="C119" s="852">
        <v>7</v>
      </c>
      <c r="D119" s="852">
        <v>0</v>
      </c>
      <c r="E119" s="852">
        <v>0</v>
      </c>
      <c r="F119" s="853">
        <v>3744.2750000000001</v>
      </c>
      <c r="G119" s="853">
        <v>2995.3</v>
      </c>
      <c r="H119" s="853">
        <v>1073.3</v>
      </c>
      <c r="I119" s="853">
        <v>35.393999999999998</v>
      </c>
      <c r="J119" s="853">
        <v>30.1</v>
      </c>
      <c r="K119" s="853">
        <v>361</v>
      </c>
      <c r="L119" s="853">
        <v>0</v>
      </c>
      <c r="M119" s="853">
        <v>0</v>
      </c>
      <c r="N119" s="854">
        <v>0</v>
      </c>
      <c r="O119" s="852">
        <f>SUM(F119:H119)*C119/100+SUM(I119:K119)*D119/100+SUM(L119:N119)*E119/100</f>
        <v>546.90125000000012</v>
      </c>
      <c r="P119" s="789"/>
      <c r="Q119" s="789"/>
      <c r="R119" s="791"/>
      <c r="S119" s="795"/>
    </row>
    <row r="120" spans="1:19" ht="25.5" hidden="1" customHeight="1">
      <c r="A120" s="633"/>
      <c r="B120" s="808" t="s">
        <v>343</v>
      </c>
      <c r="C120" s="779"/>
      <c r="D120" s="779"/>
      <c r="E120" s="779"/>
      <c r="F120" s="780"/>
      <c r="G120" s="780"/>
      <c r="H120" s="780"/>
      <c r="I120" s="780"/>
      <c r="J120" s="780"/>
      <c r="K120" s="780"/>
      <c r="L120" s="780"/>
      <c r="M120" s="780"/>
      <c r="N120" s="780"/>
      <c r="O120" s="781">
        <f>O121+O122</f>
        <v>0</v>
      </c>
      <c r="P120" s="782">
        <v>0</v>
      </c>
      <c r="Q120" s="782">
        <v>0</v>
      </c>
      <c r="R120" s="771">
        <f>O120-P120-Q120</f>
        <v>0</v>
      </c>
      <c r="S120" s="795"/>
    </row>
    <row r="121" spans="1:19" ht="25.5" hidden="1" customHeight="1">
      <c r="A121" s="633"/>
      <c r="B121" s="809" t="s">
        <v>348</v>
      </c>
      <c r="C121" s="784">
        <v>0</v>
      </c>
      <c r="D121" s="784">
        <v>0</v>
      </c>
      <c r="E121" s="784">
        <v>0</v>
      </c>
      <c r="F121" s="785">
        <v>1217.0999999999999</v>
      </c>
      <c r="G121" s="785">
        <v>1979.2322999999999</v>
      </c>
      <c r="H121" s="786">
        <v>5816.5684000000001</v>
      </c>
      <c r="I121" s="785">
        <v>104141.8</v>
      </c>
      <c r="J121" s="785">
        <v>84014.182400000005</v>
      </c>
      <c r="K121" s="786">
        <v>112355.49</v>
      </c>
      <c r="L121" s="787">
        <v>0</v>
      </c>
      <c r="M121" s="787">
        <v>0</v>
      </c>
      <c r="N121" s="786">
        <v>0</v>
      </c>
      <c r="O121" s="788">
        <f>SUM(F121:H121)*C121/100+SUM(I121:K121)*D121/100+SUM(L121:N121)*E121/100</f>
        <v>0</v>
      </c>
      <c r="P121" s="789"/>
      <c r="Q121" s="789"/>
      <c r="R121" s="791"/>
      <c r="S121" s="795"/>
    </row>
    <row r="122" spans="1:19" ht="25.5" hidden="1" customHeight="1">
      <c r="A122" s="633"/>
      <c r="B122" s="809" t="s">
        <v>72</v>
      </c>
      <c r="C122" s="784">
        <v>0</v>
      </c>
      <c r="D122" s="784">
        <v>0</v>
      </c>
      <c r="E122" s="784">
        <v>0</v>
      </c>
      <c r="F122" s="787">
        <v>1497.8</v>
      </c>
      <c r="G122" s="787">
        <v>3744.2750000000001</v>
      </c>
      <c r="H122" s="786">
        <v>2995.3</v>
      </c>
      <c r="I122" s="787">
        <v>14</v>
      </c>
      <c r="J122" s="787">
        <v>35.393999999999998</v>
      </c>
      <c r="K122" s="786">
        <v>30.146000000000001</v>
      </c>
      <c r="L122" s="787">
        <v>0</v>
      </c>
      <c r="M122" s="787">
        <v>0</v>
      </c>
      <c r="N122" s="786">
        <v>0</v>
      </c>
      <c r="O122" s="788">
        <f>SUM(F122:H122)*C122/100+SUM(I122:K122)*D122/100+SUM(L122:N122)*E122/100</f>
        <v>0</v>
      </c>
      <c r="P122" s="789"/>
      <c r="Q122" s="789"/>
      <c r="R122" s="791"/>
      <c r="S122" s="795"/>
    </row>
    <row r="123" spans="1:19" ht="25.5" hidden="1" customHeight="1">
      <c r="A123" s="633"/>
      <c r="B123" s="808" t="s">
        <v>344</v>
      </c>
      <c r="C123" s="779"/>
      <c r="D123" s="779"/>
      <c r="E123" s="779"/>
      <c r="F123" s="780"/>
      <c r="G123" s="780"/>
      <c r="H123" s="780"/>
      <c r="I123" s="780"/>
      <c r="J123" s="780"/>
      <c r="K123" s="780"/>
      <c r="L123" s="780"/>
      <c r="M123" s="780"/>
      <c r="N123" s="780"/>
      <c r="O123" s="781">
        <f>O124+O125</f>
        <v>0</v>
      </c>
      <c r="P123" s="782">
        <v>0</v>
      </c>
      <c r="Q123" s="782">
        <v>0</v>
      </c>
      <c r="R123" s="771">
        <f>O123-P123-Q123</f>
        <v>0</v>
      </c>
      <c r="S123" s="795"/>
    </row>
    <row r="124" spans="1:19" ht="25.5" hidden="1" customHeight="1">
      <c r="A124" s="633"/>
      <c r="B124" s="809" t="s">
        <v>348</v>
      </c>
      <c r="C124" s="784">
        <v>0</v>
      </c>
      <c r="D124" s="784">
        <v>0</v>
      </c>
      <c r="E124" s="784">
        <v>0</v>
      </c>
      <c r="F124" s="785">
        <v>1217.0999999999999</v>
      </c>
      <c r="G124" s="785">
        <v>1979.2322999999999</v>
      </c>
      <c r="H124" s="786">
        <v>5816.5684000000001</v>
      </c>
      <c r="I124" s="785">
        <v>104141.8</v>
      </c>
      <c r="J124" s="785">
        <v>84014.182400000005</v>
      </c>
      <c r="K124" s="786">
        <v>112355.49</v>
      </c>
      <c r="L124" s="787">
        <v>0</v>
      </c>
      <c r="M124" s="787">
        <v>0</v>
      </c>
      <c r="N124" s="786">
        <v>0</v>
      </c>
      <c r="O124" s="788">
        <f>SUM(F124:H124)*C124/100+SUM(I124:K124)*D124/100+SUM(L124:N124)*E124/100</f>
        <v>0</v>
      </c>
      <c r="P124" s="789"/>
      <c r="Q124" s="789"/>
      <c r="R124" s="791"/>
      <c r="S124" s="795"/>
    </row>
    <row r="125" spans="1:19" ht="25.5" hidden="1" customHeight="1">
      <c r="A125" s="633"/>
      <c r="B125" s="809" t="s">
        <v>72</v>
      </c>
      <c r="C125" s="784">
        <v>0</v>
      </c>
      <c r="D125" s="784">
        <v>0</v>
      </c>
      <c r="E125" s="784">
        <v>0</v>
      </c>
      <c r="F125" s="787">
        <v>1497.8</v>
      </c>
      <c r="G125" s="787">
        <v>3744.2750000000001</v>
      </c>
      <c r="H125" s="786">
        <v>2995.3</v>
      </c>
      <c r="I125" s="787">
        <v>14</v>
      </c>
      <c r="J125" s="787">
        <v>35.393999999999998</v>
      </c>
      <c r="K125" s="786">
        <v>30.146000000000001</v>
      </c>
      <c r="L125" s="787">
        <v>0</v>
      </c>
      <c r="M125" s="787">
        <v>0</v>
      </c>
      <c r="N125" s="786">
        <v>0</v>
      </c>
      <c r="O125" s="788">
        <f>SUM(F125:H125)*C125/100+SUM(I125:K125)*D125/100+SUM(L125:N125)*E125/100</f>
        <v>0</v>
      </c>
      <c r="P125" s="789"/>
      <c r="Q125" s="789"/>
      <c r="R125" s="791"/>
      <c r="S125" s="795"/>
    </row>
    <row r="126" spans="1:19" ht="25.5" customHeight="1">
      <c r="A126" s="633"/>
      <c r="B126" s="810" t="s">
        <v>316</v>
      </c>
      <c r="C126" s="779"/>
      <c r="D126" s="779"/>
      <c r="E126" s="779"/>
      <c r="F126" s="780"/>
      <c r="G126" s="780"/>
      <c r="H126" s="780"/>
      <c r="I126" s="780"/>
      <c r="J126" s="780"/>
      <c r="K126" s="780"/>
      <c r="L126" s="780"/>
      <c r="M126" s="780"/>
      <c r="N126" s="780"/>
      <c r="O126" s="781">
        <f>O127+O128</f>
        <v>2180.8552990000003</v>
      </c>
      <c r="P126" s="782">
        <v>0</v>
      </c>
      <c r="Q126" s="792">
        <v>5322.8</v>
      </c>
      <c r="R126" s="791">
        <f>O126-P126-Q126</f>
        <v>-3141.9447009999999</v>
      </c>
      <c r="S126" s="793"/>
    </row>
    <row r="127" spans="1:19">
      <c r="A127" s="633"/>
      <c r="B127" s="809" t="s">
        <v>239</v>
      </c>
      <c r="C127" s="794">
        <v>7</v>
      </c>
      <c r="D127" s="794">
        <v>0</v>
      </c>
      <c r="E127" s="794">
        <v>0</v>
      </c>
      <c r="F127" s="787">
        <v>1979.2322999999999</v>
      </c>
      <c r="G127" s="787">
        <v>5816.5684000000001</v>
      </c>
      <c r="H127" s="787">
        <v>2152.9</v>
      </c>
      <c r="I127" s="787">
        <v>84014.182400000005</v>
      </c>
      <c r="J127" s="787">
        <v>112355.5</v>
      </c>
      <c r="K127" s="787">
        <v>95584</v>
      </c>
      <c r="L127" s="787">
        <v>0</v>
      </c>
      <c r="M127" s="787">
        <v>0</v>
      </c>
      <c r="N127" s="786">
        <v>0</v>
      </c>
      <c r="O127" s="788">
        <f>SUM(F127:H127)*C127/100+SUM(I127:K127)*D127/100+SUM(L127:N127)*E127/100</f>
        <v>696.40904899999998</v>
      </c>
      <c r="P127" s="789"/>
      <c r="Q127" s="789"/>
      <c r="R127" s="791"/>
      <c r="S127" s="633"/>
    </row>
    <row r="128" spans="1:19" ht="16.2" thickBot="1">
      <c r="A128" s="633"/>
      <c r="B128" s="851" t="s">
        <v>355</v>
      </c>
      <c r="C128" s="852">
        <v>19</v>
      </c>
      <c r="D128" s="852">
        <v>0</v>
      </c>
      <c r="E128" s="852">
        <v>0</v>
      </c>
      <c r="F128" s="853">
        <v>3744.2750000000001</v>
      </c>
      <c r="G128" s="853">
        <v>2995.3</v>
      </c>
      <c r="H128" s="853">
        <v>1073.3</v>
      </c>
      <c r="I128" s="853">
        <v>35.393999999999998</v>
      </c>
      <c r="J128" s="853">
        <v>30.1</v>
      </c>
      <c r="K128" s="853">
        <v>361</v>
      </c>
      <c r="L128" s="853">
        <v>0</v>
      </c>
      <c r="M128" s="853">
        <v>0</v>
      </c>
      <c r="N128" s="854">
        <v>0</v>
      </c>
      <c r="O128" s="852">
        <f>SUM(F128:H128)*C128/100+SUM(I128:K128)*D128/100+SUM(L128:N128)*E128/100</f>
        <v>1484.4462500000002</v>
      </c>
      <c r="P128" s="789"/>
      <c r="Q128" s="789"/>
      <c r="R128" s="791"/>
      <c r="S128" s="633"/>
    </row>
    <row r="129" spans="1:19" ht="25.5" customHeight="1">
      <c r="A129" s="633"/>
      <c r="B129" s="797"/>
      <c r="C129" s="635"/>
      <c r="D129" s="635"/>
      <c r="E129" s="635"/>
      <c r="F129" s="636"/>
      <c r="G129" s="636"/>
      <c r="H129" s="636"/>
      <c r="I129" s="636"/>
      <c r="J129" s="636"/>
      <c r="K129" s="636"/>
      <c r="L129" s="636"/>
      <c r="M129" s="636"/>
      <c r="N129" s="636"/>
      <c r="O129" s="636"/>
      <c r="P129" s="636"/>
      <c r="Q129" s="636"/>
      <c r="R129" s="1273"/>
      <c r="S129" s="1265">
        <f>SUM(S8:S128)</f>
        <v>323255.40834700002</v>
      </c>
    </row>
    <row r="130" spans="1:19" ht="25.5" customHeight="1" thickBot="1">
      <c r="A130" s="633"/>
      <c r="B130" s="797"/>
      <c r="C130" s="633"/>
      <c r="D130" s="633"/>
      <c r="E130" s="633"/>
      <c r="F130" s="633"/>
      <c r="G130" s="633"/>
      <c r="H130" s="633"/>
      <c r="I130" s="633"/>
      <c r="J130" s="633"/>
      <c r="K130" s="633"/>
      <c r="L130" s="633"/>
      <c r="M130" s="633"/>
      <c r="N130" s="633"/>
      <c r="O130" s="633"/>
      <c r="P130" s="633"/>
      <c r="Q130" s="633"/>
      <c r="R130" s="1274"/>
      <c r="S130" s="1266"/>
    </row>
    <row r="131" spans="1:19" ht="15">
      <c r="A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</row>
    <row r="135" spans="1:19">
      <c r="S135" s="27"/>
    </row>
  </sheetData>
  <mergeCells count="25">
    <mergeCell ref="P4:Q5"/>
    <mergeCell ref="R4:R7"/>
    <mergeCell ref="S4:S7"/>
    <mergeCell ref="F5:H5"/>
    <mergeCell ref="I5:K5"/>
    <mergeCell ref="L5:N5"/>
    <mergeCell ref="F6:F7"/>
    <mergeCell ref="H6:H7"/>
    <mergeCell ref="I6:I7"/>
    <mergeCell ref="J6:J7"/>
    <mergeCell ref="K6:K7"/>
    <mergeCell ref="L6:L7"/>
    <mergeCell ref="B4:B7"/>
    <mergeCell ref="C4:E6"/>
    <mergeCell ref="F4:O4"/>
    <mergeCell ref="S129:S130"/>
    <mergeCell ref="B1:R1"/>
    <mergeCell ref="B2:Q2"/>
    <mergeCell ref="M6:M7"/>
    <mergeCell ref="N6:N7"/>
    <mergeCell ref="O6:O7"/>
    <mergeCell ref="P6:P7"/>
    <mergeCell ref="Q6:Q7"/>
    <mergeCell ref="R129:R130"/>
    <mergeCell ref="G6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topLeftCell="B1" workbookViewId="0">
      <pane ySplit="7" topLeftCell="A8" activePane="bottomLeft" state="frozen"/>
      <selection activeCell="B1" sqref="B1"/>
      <selection pane="bottomLeft" activeCell="L12" sqref="L12"/>
    </sheetView>
  </sheetViews>
  <sheetFormatPr defaultColWidth="9.109375" defaultRowHeight="14.4"/>
  <cols>
    <col min="1" max="1" width="0.88671875" style="859" hidden="1" customWidth="1"/>
    <col min="2" max="2" width="42.77734375" style="860" customWidth="1"/>
    <col min="3" max="4" width="6.109375" style="861" bestFit="1" customWidth="1"/>
    <col min="5" max="5" width="7.44140625" style="861" customWidth="1"/>
    <col min="6" max="6" width="7.44140625" style="862" bestFit="1" customWidth="1"/>
    <col min="7" max="7" width="7.5546875" style="862" bestFit="1" customWidth="1"/>
    <col min="8" max="8" width="8.33203125" style="862" bestFit="1" customWidth="1"/>
    <col min="9" max="9" width="9.109375" style="862" bestFit="1" customWidth="1"/>
    <col min="10" max="10" width="8.88671875" style="862" bestFit="1" customWidth="1"/>
    <col min="11" max="11" width="9.6640625" style="862" bestFit="1" customWidth="1"/>
    <col min="12" max="12" width="10.109375" style="862" bestFit="1" customWidth="1"/>
    <col min="13" max="13" width="9.44140625" style="862" bestFit="1" customWidth="1"/>
    <col min="14" max="14" width="9.33203125" style="862" bestFit="1" customWidth="1"/>
    <col min="15" max="15" width="11.33203125" style="862" customWidth="1"/>
    <col min="16" max="16" width="12.6640625" style="862" bestFit="1" customWidth="1"/>
    <col min="17" max="17" width="11.44140625" style="862" bestFit="1" customWidth="1"/>
    <col min="18" max="18" width="16.109375" style="862" customWidth="1"/>
    <col min="19" max="19" width="16.33203125" style="860" customWidth="1"/>
    <col min="20" max="16384" width="9.109375" style="860"/>
  </cols>
  <sheetData>
    <row r="1" spans="1:19" s="633" customFormat="1" ht="15.6">
      <c r="A1" s="632"/>
      <c r="B1" s="1267" t="s">
        <v>271</v>
      </c>
      <c r="C1" s="1267"/>
      <c r="D1" s="1267"/>
      <c r="E1" s="1267"/>
      <c r="F1" s="1267"/>
      <c r="G1" s="1267"/>
      <c r="H1" s="1267"/>
      <c r="I1" s="1267"/>
      <c r="J1" s="1267"/>
      <c r="K1" s="1267"/>
      <c r="L1" s="1267"/>
      <c r="M1" s="1267"/>
      <c r="N1" s="1267"/>
      <c r="O1" s="1267"/>
      <c r="P1" s="1267"/>
      <c r="Q1" s="1267"/>
      <c r="R1" s="1267"/>
    </row>
    <row r="2" spans="1:19" s="633" customFormat="1" ht="15.6">
      <c r="A2" s="632"/>
      <c r="B2" s="1268" t="s">
        <v>366</v>
      </c>
      <c r="C2" s="1268"/>
      <c r="D2" s="1268"/>
      <c r="E2" s="1268"/>
      <c r="F2" s="1268"/>
      <c r="G2" s="1268"/>
      <c r="H2" s="1268"/>
      <c r="I2" s="1268"/>
      <c r="J2" s="1268"/>
      <c r="K2" s="1268"/>
      <c r="L2" s="1268"/>
      <c r="M2" s="1268"/>
      <c r="N2" s="1268"/>
      <c r="O2" s="1268"/>
      <c r="P2" s="1268"/>
      <c r="Q2" s="1268"/>
      <c r="R2" s="634"/>
    </row>
    <row r="3" spans="1:19" ht="15" thickBot="1">
      <c r="P3" s="863"/>
      <c r="Q3" s="863"/>
      <c r="R3" s="637" t="s">
        <v>288</v>
      </c>
    </row>
    <row r="4" spans="1:19" ht="21" customHeight="1">
      <c r="B4" s="1298" t="s">
        <v>221</v>
      </c>
      <c r="C4" s="1279" t="s">
        <v>329</v>
      </c>
      <c r="D4" s="1280"/>
      <c r="E4" s="1281"/>
      <c r="F4" s="1288" t="s">
        <v>371</v>
      </c>
      <c r="G4" s="1289"/>
      <c r="H4" s="1289"/>
      <c r="I4" s="1289"/>
      <c r="J4" s="1289"/>
      <c r="K4" s="1289"/>
      <c r="L4" s="1289"/>
      <c r="M4" s="1289"/>
      <c r="N4" s="1289"/>
      <c r="O4" s="1290"/>
      <c r="P4" s="1279" t="s">
        <v>333</v>
      </c>
      <c r="Q4" s="1280"/>
      <c r="R4" s="1301" t="s">
        <v>368</v>
      </c>
      <c r="S4" s="1304" t="s">
        <v>334</v>
      </c>
    </row>
    <row r="5" spans="1:19" ht="73.5" customHeight="1">
      <c r="B5" s="1299"/>
      <c r="C5" s="1282"/>
      <c r="D5" s="1283"/>
      <c r="E5" s="1284"/>
      <c r="F5" s="1288" t="s">
        <v>222</v>
      </c>
      <c r="G5" s="1293"/>
      <c r="H5" s="1294"/>
      <c r="I5" s="1288" t="s">
        <v>223</v>
      </c>
      <c r="J5" s="1293"/>
      <c r="K5" s="1294"/>
      <c r="L5" s="1288" t="s">
        <v>223</v>
      </c>
      <c r="M5" s="1293"/>
      <c r="N5" s="1294"/>
      <c r="O5" s="638" t="s">
        <v>225</v>
      </c>
      <c r="P5" s="1285"/>
      <c r="Q5" s="1286"/>
      <c r="R5" s="1302"/>
      <c r="S5" s="1304"/>
    </row>
    <row r="6" spans="1:19" ht="15.6" hidden="1" customHeight="1">
      <c r="B6" s="1299"/>
      <c r="C6" s="1285"/>
      <c r="D6" s="1286"/>
      <c r="E6" s="1287"/>
      <c r="F6" s="1269">
        <v>2015</v>
      </c>
      <c r="G6" s="1269">
        <v>2016</v>
      </c>
      <c r="H6" s="1270">
        <v>2017</v>
      </c>
      <c r="I6" s="1269">
        <v>2015</v>
      </c>
      <c r="J6" s="1269">
        <v>2016</v>
      </c>
      <c r="K6" s="1270">
        <v>2017</v>
      </c>
      <c r="L6" s="1269">
        <v>2015</v>
      </c>
      <c r="M6" s="1269">
        <v>2016</v>
      </c>
      <c r="N6" s="1270">
        <v>2017</v>
      </c>
      <c r="O6" s="1272" t="s">
        <v>367</v>
      </c>
      <c r="P6" s="1269">
        <v>2017</v>
      </c>
      <c r="Q6" s="1288">
        <v>2018</v>
      </c>
      <c r="R6" s="1302"/>
      <c r="S6" s="1304"/>
    </row>
    <row r="7" spans="1:19" ht="37.5" customHeight="1" thickBot="1">
      <c r="B7" s="1300"/>
      <c r="C7" s="864" t="s">
        <v>228</v>
      </c>
      <c r="D7" s="864" t="s">
        <v>229</v>
      </c>
      <c r="E7" s="864" t="s">
        <v>292</v>
      </c>
      <c r="F7" s="1270"/>
      <c r="G7" s="1270"/>
      <c r="H7" s="1275"/>
      <c r="I7" s="1270"/>
      <c r="J7" s="1270"/>
      <c r="K7" s="1275"/>
      <c r="L7" s="1270"/>
      <c r="M7" s="1270"/>
      <c r="N7" s="1275"/>
      <c r="O7" s="1295"/>
      <c r="P7" s="1270"/>
      <c r="Q7" s="1279"/>
      <c r="R7" s="1303"/>
      <c r="S7" s="1305"/>
    </row>
    <row r="8" spans="1:19" s="873" customFormat="1" ht="23.25" customHeight="1" thickBot="1">
      <c r="A8" s="865">
        <v>1</v>
      </c>
      <c r="B8" s="1157" t="s">
        <v>227</v>
      </c>
      <c r="C8" s="866"/>
      <c r="D8" s="866"/>
      <c r="E8" s="866"/>
      <c r="F8" s="867">
        <f t="shared" ref="F8:N8" si="0">SUM(F9:F14)</f>
        <v>480.60900000000004</v>
      </c>
      <c r="G8" s="867">
        <f t="shared" si="0"/>
        <v>489.9</v>
      </c>
      <c r="H8" s="867">
        <f t="shared" si="0"/>
        <v>2314.6999999999998</v>
      </c>
      <c r="I8" s="867">
        <f t="shared" si="0"/>
        <v>9497.5730000000003</v>
      </c>
      <c r="J8" s="867">
        <f t="shared" si="0"/>
        <v>8497.8000000000011</v>
      </c>
      <c r="K8" s="867">
        <f t="shared" si="0"/>
        <v>14636.5</v>
      </c>
      <c r="L8" s="867">
        <f t="shared" si="0"/>
        <v>15982.145999999999</v>
      </c>
      <c r="M8" s="867">
        <f t="shared" si="0"/>
        <v>11074.6</v>
      </c>
      <c r="N8" s="867">
        <f t="shared" si="0"/>
        <v>13417.5</v>
      </c>
      <c r="O8" s="868">
        <f>O9+O10+O11+O12+O13+O14</f>
        <v>76391.328000000009</v>
      </c>
      <c r="P8" s="869">
        <v>0</v>
      </c>
      <c r="Q8" s="870">
        <v>0</v>
      </c>
      <c r="R8" s="871">
        <f>O8-P8-Q8</f>
        <v>76391.328000000009</v>
      </c>
      <c r="S8" s="872">
        <f>R8</f>
        <v>76391.328000000009</v>
      </c>
    </row>
    <row r="9" spans="1:19" ht="18">
      <c r="B9" s="1179" t="s">
        <v>349</v>
      </c>
      <c r="C9" s="1115">
        <v>100</v>
      </c>
      <c r="D9" s="874">
        <v>100</v>
      </c>
      <c r="E9" s="874">
        <v>100</v>
      </c>
      <c r="F9" s="875">
        <v>118.82</v>
      </c>
      <c r="G9" s="875">
        <v>121</v>
      </c>
      <c r="H9" s="876">
        <v>93.1</v>
      </c>
      <c r="I9" s="875">
        <v>7106.866</v>
      </c>
      <c r="J9" s="875">
        <v>6049.7</v>
      </c>
      <c r="K9" s="876">
        <v>6916.7</v>
      </c>
      <c r="L9" s="875">
        <v>19.396000000000001</v>
      </c>
      <c r="M9" s="875">
        <v>19.399999999999999</v>
      </c>
      <c r="N9" s="876">
        <v>9.6999999999999993</v>
      </c>
      <c r="O9" s="877">
        <f t="shared" ref="O9:O14" si="1">SUM(F9:H9)*C9/100+SUM(I9:K9)*D9/100+SUM(L9:N9)*E9/100</f>
        <v>20454.681999999997</v>
      </c>
      <c r="P9" s="878"/>
      <c r="Q9" s="879"/>
      <c r="R9" s="880"/>
      <c r="S9" s="881"/>
    </row>
    <row r="10" spans="1:19" ht="18" customHeight="1">
      <c r="B10" s="1180" t="s">
        <v>350</v>
      </c>
      <c r="C10" s="1116">
        <v>100</v>
      </c>
      <c r="D10" s="647">
        <v>100</v>
      </c>
      <c r="E10" s="647">
        <v>100</v>
      </c>
      <c r="F10" s="649">
        <v>0</v>
      </c>
      <c r="G10" s="649">
        <v>0</v>
      </c>
      <c r="H10" s="882">
        <v>0</v>
      </c>
      <c r="I10" s="649">
        <v>31</v>
      </c>
      <c r="J10" s="649">
        <v>0</v>
      </c>
      <c r="K10" s="882">
        <v>2725</v>
      </c>
      <c r="L10" s="649">
        <v>0</v>
      </c>
      <c r="M10" s="649">
        <v>0</v>
      </c>
      <c r="N10" s="882">
        <v>0</v>
      </c>
      <c r="O10" s="877">
        <f t="shared" si="1"/>
        <v>2756</v>
      </c>
      <c r="P10" s="651"/>
      <c r="Q10" s="883"/>
      <c r="R10" s="884"/>
      <c r="S10" s="881"/>
    </row>
    <row r="11" spans="1:19" ht="18">
      <c r="B11" s="1180" t="s">
        <v>351</v>
      </c>
      <c r="C11" s="1116">
        <v>100</v>
      </c>
      <c r="D11" s="647">
        <v>100</v>
      </c>
      <c r="E11" s="647">
        <v>100</v>
      </c>
      <c r="F11" s="649">
        <v>0</v>
      </c>
      <c r="G11" s="649">
        <v>0</v>
      </c>
      <c r="H11" s="882">
        <v>0</v>
      </c>
      <c r="I11" s="649">
        <v>135.565</v>
      </c>
      <c r="J11" s="649">
        <v>256.5</v>
      </c>
      <c r="K11" s="882">
        <v>2727</v>
      </c>
      <c r="L11" s="649">
        <v>0</v>
      </c>
      <c r="M11" s="649">
        <v>0</v>
      </c>
      <c r="N11" s="882">
        <v>0</v>
      </c>
      <c r="O11" s="877">
        <f t="shared" si="1"/>
        <v>3119.0650000000001</v>
      </c>
      <c r="P11" s="651"/>
      <c r="Q11" s="883"/>
      <c r="R11" s="884"/>
      <c r="S11" s="881"/>
    </row>
    <row r="12" spans="1:19" ht="18">
      <c r="B12" s="1180" t="s">
        <v>352</v>
      </c>
      <c r="C12" s="1116">
        <v>100</v>
      </c>
      <c r="D12" s="647">
        <v>100</v>
      </c>
      <c r="E12" s="647">
        <v>100</v>
      </c>
      <c r="F12" s="649">
        <v>247.33600000000001</v>
      </c>
      <c r="G12" s="649">
        <v>239.4</v>
      </c>
      <c r="H12" s="882">
        <v>301.89999999999998</v>
      </c>
      <c r="I12" s="649">
        <v>1378.4</v>
      </c>
      <c r="J12" s="649">
        <v>1345.9</v>
      </c>
      <c r="K12" s="882">
        <v>1140.5</v>
      </c>
      <c r="L12" s="649">
        <v>5011.2</v>
      </c>
      <c r="M12" s="649">
        <v>3622</v>
      </c>
      <c r="N12" s="882">
        <v>2038.8</v>
      </c>
      <c r="O12" s="877">
        <f t="shared" si="1"/>
        <v>15325.436</v>
      </c>
      <c r="P12" s="651"/>
      <c r="Q12" s="883"/>
      <c r="R12" s="884"/>
      <c r="S12" s="881"/>
    </row>
    <row r="13" spans="1:19" ht="18">
      <c r="B13" s="1179" t="s">
        <v>353</v>
      </c>
      <c r="C13" s="1116">
        <v>100</v>
      </c>
      <c r="D13" s="647">
        <v>100</v>
      </c>
      <c r="E13" s="647">
        <v>100</v>
      </c>
      <c r="F13" s="649">
        <v>114.453</v>
      </c>
      <c r="G13" s="649">
        <v>129.5</v>
      </c>
      <c r="H13" s="882">
        <v>1919.7</v>
      </c>
      <c r="I13" s="649">
        <v>845.74199999999996</v>
      </c>
      <c r="J13" s="649">
        <v>845.7</v>
      </c>
      <c r="K13" s="882">
        <v>1127.3</v>
      </c>
      <c r="L13" s="649">
        <v>10951.55</v>
      </c>
      <c r="M13" s="649">
        <v>7433.2</v>
      </c>
      <c r="N13" s="882">
        <v>11369</v>
      </c>
      <c r="O13" s="877">
        <f t="shared" si="1"/>
        <v>34736.145000000004</v>
      </c>
      <c r="P13" s="651"/>
      <c r="Q13" s="883"/>
      <c r="R13" s="884"/>
      <c r="S13" s="881"/>
    </row>
    <row r="14" spans="1:19" ht="18.600000000000001" thickBot="1">
      <c r="B14" s="1186" t="s">
        <v>354</v>
      </c>
      <c r="C14" s="1117">
        <v>100</v>
      </c>
      <c r="D14" s="885">
        <v>100</v>
      </c>
      <c r="E14" s="885">
        <v>100</v>
      </c>
      <c r="F14" s="886">
        <v>0</v>
      </c>
      <c r="G14" s="886">
        <v>0</v>
      </c>
      <c r="H14" s="882">
        <v>0</v>
      </c>
      <c r="I14" s="886">
        <v>0</v>
      </c>
      <c r="J14" s="886">
        <v>0</v>
      </c>
      <c r="K14" s="882">
        <v>0</v>
      </c>
      <c r="L14" s="886">
        <v>0</v>
      </c>
      <c r="M14" s="886">
        <v>0</v>
      </c>
      <c r="N14" s="882">
        <v>0</v>
      </c>
      <c r="O14" s="877">
        <f t="shared" si="1"/>
        <v>0</v>
      </c>
      <c r="P14" s="887"/>
      <c r="Q14" s="888"/>
      <c r="R14" s="884"/>
      <c r="S14" s="881"/>
    </row>
    <row r="15" spans="1:19" ht="17.25" customHeight="1" thickBot="1">
      <c r="B15" s="1158" t="s">
        <v>293</v>
      </c>
      <c r="C15" s="1118"/>
      <c r="D15" s="889"/>
      <c r="E15" s="889"/>
      <c r="F15" s="890"/>
      <c r="G15" s="890"/>
      <c r="H15" s="891"/>
      <c r="I15" s="890"/>
      <c r="J15" s="890"/>
      <c r="K15" s="891"/>
      <c r="L15" s="890"/>
      <c r="M15" s="890"/>
      <c r="N15" s="891"/>
      <c r="O15" s="892"/>
      <c r="P15" s="893"/>
      <c r="Q15" s="894"/>
      <c r="R15" s="895"/>
      <c r="S15" s="881"/>
    </row>
    <row r="16" spans="1:19" ht="18.600000000000001" thickBot="1">
      <c r="A16" s="859">
        <v>2</v>
      </c>
      <c r="B16" s="1159" t="s">
        <v>236</v>
      </c>
      <c r="C16" s="1119"/>
      <c r="D16" s="896"/>
      <c r="E16" s="896"/>
      <c r="F16" s="897"/>
      <c r="G16" s="897"/>
      <c r="H16" s="898"/>
      <c r="I16" s="897"/>
      <c r="J16" s="897"/>
      <c r="K16" s="898"/>
      <c r="L16" s="897"/>
      <c r="M16" s="897"/>
      <c r="N16" s="898"/>
      <c r="O16" s="897">
        <f>O17</f>
        <v>339777.35893199994</v>
      </c>
      <c r="P16" s="899">
        <v>56666.8</v>
      </c>
      <c r="Q16" s="900">
        <v>182643.20000000001</v>
      </c>
      <c r="R16" s="871">
        <f>O16-P16-Q16</f>
        <v>100467.35893199994</v>
      </c>
      <c r="S16" s="872">
        <f>R16</f>
        <v>100467.35893199994</v>
      </c>
    </row>
    <row r="17" spans="1:19" ht="18.600000000000001" thickBot="1">
      <c r="B17" s="1182" t="s">
        <v>370</v>
      </c>
      <c r="C17" s="1120">
        <v>73</v>
      </c>
      <c r="D17" s="901">
        <v>81</v>
      </c>
      <c r="E17" s="901">
        <v>100</v>
      </c>
      <c r="F17" s="902">
        <v>5816.5684000000001</v>
      </c>
      <c r="G17" s="903">
        <v>2152.9</v>
      </c>
      <c r="H17" s="903">
        <v>2454.6999999999998</v>
      </c>
      <c r="I17" s="902">
        <v>112355.5</v>
      </c>
      <c r="J17" s="902">
        <v>95584</v>
      </c>
      <c r="K17" s="902">
        <v>202144.1</v>
      </c>
      <c r="L17" s="904">
        <v>0</v>
      </c>
      <c r="M17" s="904">
        <v>0</v>
      </c>
      <c r="N17" s="902">
        <v>0</v>
      </c>
      <c r="O17" s="905">
        <f>SUM(F17:H17)*C17/100+SUM(I17:K17)*D17/100+SUM(L17:N17)*E17/100</f>
        <v>339777.35893199994</v>
      </c>
      <c r="P17" s="906"/>
      <c r="Q17" s="907"/>
      <c r="R17" s="880"/>
      <c r="S17" s="881"/>
    </row>
    <row r="18" spans="1:19" ht="18.600000000000001" thickBot="1">
      <c r="A18" s="859">
        <v>3</v>
      </c>
      <c r="B18" s="1159" t="s">
        <v>237</v>
      </c>
      <c r="C18" s="1119"/>
      <c r="D18" s="896"/>
      <c r="E18" s="896"/>
      <c r="F18" s="898"/>
      <c r="G18" s="898"/>
      <c r="H18" s="898"/>
      <c r="I18" s="898"/>
      <c r="J18" s="898"/>
      <c r="K18" s="898"/>
      <c r="L18" s="898"/>
      <c r="M18" s="897"/>
      <c r="N18" s="898"/>
      <c r="O18" s="897">
        <f>O19+O20</f>
        <v>4984.4185240000006</v>
      </c>
      <c r="P18" s="899">
        <v>1673.3</v>
      </c>
      <c r="Q18" s="900">
        <v>0</v>
      </c>
      <c r="R18" s="871">
        <f>O18-P18-Q18</f>
        <v>3311.1185240000004</v>
      </c>
      <c r="S18" s="872">
        <f>R18</f>
        <v>3311.1185240000004</v>
      </c>
    </row>
    <row r="19" spans="1:19" s="915" customFormat="1" ht="18">
      <c r="A19" s="908"/>
      <c r="B19" s="1189" t="s">
        <v>321</v>
      </c>
      <c r="C19" s="1187">
        <v>65</v>
      </c>
      <c r="D19" s="1188">
        <v>100</v>
      </c>
      <c r="E19" s="1188">
        <v>100</v>
      </c>
      <c r="F19" s="1190">
        <v>2995.3</v>
      </c>
      <c r="G19" s="1190">
        <v>1073.3</v>
      </c>
      <c r="H19" s="1190">
        <v>735.8</v>
      </c>
      <c r="I19" s="1190">
        <v>30.1</v>
      </c>
      <c r="J19" s="1190">
        <v>361</v>
      </c>
      <c r="K19" s="1190">
        <v>323.8</v>
      </c>
      <c r="L19" s="1191">
        <v>0</v>
      </c>
      <c r="M19" s="1190">
        <v>0</v>
      </c>
      <c r="N19" s="1190">
        <v>0</v>
      </c>
      <c r="O19" s="1192">
        <f>SUM(F19:H19)*C19/100+SUM(I19:K19)*D19/100+SUM(L19:N19)*E19/100</f>
        <v>3837.7600000000007</v>
      </c>
      <c r="P19" s="912"/>
      <c r="Q19" s="913"/>
      <c r="R19" s="880"/>
      <c r="S19" s="914"/>
    </row>
    <row r="20" spans="1:19" s="915" customFormat="1" ht="18.600000000000001" thickBot="1">
      <c r="A20" s="908"/>
      <c r="B20" s="1182" t="s">
        <v>370</v>
      </c>
      <c r="C20" s="1122">
        <v>11</v>
      </c>
      <c r="D20" s="668">
        <v>0</v>
      </c>
      <c r="E20" s="668">
        <v>0</v>
      </c>
      <c r="F20" s="664">
        <v>5816.5684000000001</v>
      </c>
      <c r="G20" s="664">
        <v>2152.9</v>
      </c>
      <c r="H20" s="669">
        <v>2454.6999999999998</v>
      </c>
      <c r="I20" s="664">
        <v>112355.5</v>
      </c>
      <c r="J20" s="664">
        <v>95584</v>
      </c>
      <c r="K20" s="669">
        <v>202144.1</v>
      </c>
      <c r="L20" s="673">
        <v>0</v>
      </c>
      <c r="M20" s="664">
        <v>0</v>
      </c>
      <c r="N20" s="669">
        <v>0</v>
      </c>
      <c r="O20" s="911">
        <f>SUM(F20:H20)*C20/100+SUM(I20:K20)*D20/100+SUM(L20:N20)*E20/100</f>
        <v>1146.6585239999999</v>
      </c>
      <c r="P20" s="671"/>
      <c r="Q20" s="916"/>
      <c r="R20" s="884"/>
      <c r="S20" s="914"/>
    </row>
    <row r="21" spans="1:19" s="915" customFormat="1" ht="18.600000000000001" hidden="1" thickBot="1">
      <c r="A21" s="908">
        <v>4</v>
      </c>
      <c r="B21" s="1160" t="s">
        <v>113</v>
      </c>
      <c r="C21" s="1123"/>
      <c r="D21" s="674"/>
      <c r="E21" s="674"/>
      <c r="F21" s="675"/>
      <c r="G21" s="675"/>
      <c r="H21" s="675"/>
      <c r="I21" s="675"/>
      <c r="J21" s="675"/>
      <c r="K21" s="675"/>
      <c r="L21" s="675"/>
      <c r="M21" s="675"/>
      <c r="N21" s="675"/>
      <c r="O21" s="676">
        <f>O22</f>
        <v>0</v>
      </c>
      <c r="P21" s="677">
        <v>0</v>
      </c>
      <c r="Q21" s="917">
        <v>24903.200000000001</v>
      </c>
      <c r="R21" s="918">
        <f>O21-P21-Q21</f>
        <v>-24903.200000000001</v>
      </c>
      <c r="S21" s="919"/>
    </row>
    <row r="22" spans="1:19" s="915" customFormat="1" ht="18.600000000000001" hidden="1" thickBot="1">
      <c r="A22" s="908"/>
      <c r="B22" s="1161" t="s">
        <v>369</v>
      </c>
      <c r="C22" s="1124">
        <v>0</v>
      </c>
      <c r="D22" s="816">
        <v>0</v>
      </c>
      <c r="E22" s="816">
        <v>0</v>
      </c>
      <c r="F22" s="673">
        <v>1979.2322999999999</v>
      </c>
      <c r="G22" s="664">
        <v>5816.5684000000001</v>
      </c>
      <c r="H22" s="664">
        <v>2152.9</v>
      </c>
      <c r="I22" s="673">
        <v>84014.182400000005</v>
      </c>
      <c r="J22" s="664">
        <v>112355.5</v>
      </c>
      <c r="K22" s="663">
        <v>95584</v>
      </c>
      <c r="L22" s="673">
        <v>0</v>
      </c>
      <c r="M22" s="673">
        <v>0</v>
      </c>
      <c r="N22" s="664">
        <v>0</v>
      </c>
      <c r="O22" s="665">
        <f>SUM(F22:H22)*C22/100+SUM(I22:K22)*D22/100+SUM(L22:N22)*E22/100</f>
        <v>0</v>
      </c>
      <c r="P22" s="671"/>
      <c r="Q22" s="916"/>
      <c r="R22" s="918"/>
      <c r="S22" s="914"/>
    </row>
    <row r="23" spans="1:19" s="915" customFormat="1" ht="18.600000000000001" hidden="1" thickBot="1">
      <c r="A23" s="908">
        <v>5</v>
      </c>
      <c r="B23" s="1160" t="s">
        <v>73</v>
      </c>
      <c r="C23" s="1123"/>
      <c r="D23" s="674"/>
      <c r="E23" s="674"/>
      <c r="F23" s="675"/>
      <c r="G23" s="675"/>
      <c r="H23" s="675"/>
      <c r="I23" s="675"/>
      <c r="J23" s="675"/>
      <c r="K23" s="675"/>
      <c r="L23" s="675"/>
      <c r="M23" s="675"/>
      <c r="N23" s="675"/>
      <c r="O23" s="676">
        <f>O24</f>
        <v>0</v>
      </c>
      <c r="P23" s="677">
        <v>0</v>
      </c>
      <c r="Q23" s="917">
        <v>3155.4</v>
      </c>
      <c r="R23" s="918">
        <f>O23-P23-Q23</f>
        <v>-3155.4</v>
      </c>
      <c r="S23" s="919"/>
    </row>
    <row r="24" spans="1:19" s="915" customFormat="1" ht="18.600000000000001" hidden="1" thickBot="1">
      <c r="A24" s="908"/>
      <c r="B24" s="1161" t="s">
        <v>369</v>
      </c>
      <c r="C24" s="1125">
        <v>0</v>
      </c>
      <c r="D24" s="920">
        <v>0</v>
      </c>
      <c r="E24" s="920">
        <v>0</v>
      </c>
      <c r="F24" s="921">
        <v>1979.2322999999999</v>
      </c>
      <c r="G24" s="922">
        <v>5816.5684000000001</v>
      </c>
      <c r="H24" s="922">
        <v>2152.9</v>
      </c>
      <c r="I24" s="923">
        <v>84014.182400000005</v>
      </c>
      <c r="J24" s="922">
        <v>112355.5</v>
      </c>
      <c r="K24" s="924">
        <v>95584</v>
      </c>
      <c r="L24" s="921">
        <v>0</v>
      </c>
      <c r="M24" s="921">
        <v>0</v>
      </c>
      <c r="N24" s="922">
        <v>0</v>
      </c>
      <c r="O24" s="923">
        <f>SUM(F24:H24)*C24/100+SUM(I24:K24)*D24/100+SUM(L24:N24)*E24/100</f>
        <v>0</v>
      </c>
      <c r="P24" s="925"/>
      <c r="Q24" s="926"/>
      <c r="R24" s="918"/>
      <c r="S24" s="914"/>
    </row>
    <row r="25" spans="1:19" s="915" customFormat="1" ht="18.600000000000001" thickBot="1">
      <c r="A25" s="908">
        <v>6</v>
      </c>
      <c r="B25" s="1162" t="s">
        <v>241</v>
      </c>
      <c r="C25" s="1126"/>
      <c r="D25" s="927"/>
      <c r="E25" s="927"/>
      <c r="F25" s="928"/>
      <c r="G25" s="928"/>
      <c r="H25" s="928"/>
      <c r="I25" s="928"/>
      <c r="J25" s="928"/>
      <c r="K25" s="928"/>
      <c r="L25" s="928"/>
      <c r="M25" s="928"/>
      <c r="N25" s="928"/>
      <c r="O25" s="929">
        <f>O26</f>
        <v>77915.883999999991</v>
      </c>
      <c r="P25" s="930">
        <v>49445.5</v>
      </c>
      <c r="Q25" s="931">
        <v>0</v>
      </c>
      <c r="R25" s="871">
        <f>O25-P25-Q25</f>
        <v>28470.383999999991</v>
      </c>
      <c r="S25" s="932">
        <f>R25</f>
        <v>28470.383999999991</v>
      </c>
    </row>
    <row r="26" spans="1:19" s="915" customFormat="1" ht="18.600000000000001" thickBot="1">
      <c r="A26" s="908"/>
      <c r="B26" s="1182" t="s">
        <v>370</v>
      </c>
      <c r="C26" s="1121">
        <v>0</v>
      </c>
      <c r="D26" s="909">
        <v>19</v>
      </c>
      <c r="E26" s="909">
        <v>0</v>
      </c>
      <c r="F26" s="933">
        <v>5816.5684000000001</v>
      </c>
      <c r="G26" s="933">
        <v>2152.9</v>
      </c>
      <c r="H26" s="934">
        <v>2454.9</v>
      </c>
      <c r="I26" s="933">
        <v>112355.5</v>
      </c>
      <c r="J26" s="935">
        <v>95584</v>
      </c>
      <c r="K26" s="934">
        <v>202144.1</v>
      </c>
      <c r="L26" s="911">
        <v>0</v>
      </c>
      <c r="M26" s="911">
        <v>0</v>
      </c>
      <c r="N26" s="933">
        <v>0</v>
      </c>
      <c r="O26" s="936">
        <f>SUM(F26:H26)*C26/100+SUM(I26:K26)*D26/100+SUM(L26:N26)*E26/100</f>
        <v>77915.883999999991</v>
      </c>
      <c r="P26" s="937"/>
      <c r="Q26" s="913"/>
      <c r="R26" s="880"/>
      <c r="S26" s="914"/>
    </row>
    <row r="27" spans="1:19" s="915" customFormat="1" ht="18.600000000000001" hidden="1" thickBot="1">
      <c r="A27" s="908">
        <v>7</v>
      </c>
      <c r="B27" s="1160" t="s">
        <v>75</v>
      </c>
      <c r="C27" s="1123"/>
      <c r="D27" s="674"/>
      <c r="E27" s="674"/>
      <c r="F27" s="675"/>
      <c r="G27" s="675"/>
      <c r="H27" s="675"/>
      <c r="I27" s="675"/>
      <c r="J27" s="675"/>
      <c r="K27" s="675"/>
      <c r="L27" s="675"/>
      <c r="M27" s="675"/>
      <c r="N27" s="675"/>
      <c r="O27" s="676">
        <f>O28</f>
        <v>5839.0736479999996</v>
      </c>
      <c r="P27" s="677">
        <v>0</v>
      </c>
      <c r="Q27" s="917">
        <v>30051.1</v>
      </c>
      <c r="R27" s="918">
        <f>O27-P27-Q27</f>
        <v>-24212.026352000001</v>
      </c>
      <c r="S27" s="919"/>
    </row>
    <row r="28" spans="1:19" s="915" customFormat="1" ht="18.600000000000001" hidden="1" thickBot="1">
      <c r="A28" s="908"/>
      <c r="B28" s="1161" t="s">
        <v>369</v>
      </c>
      <c r="C28" s="1122">
        <v>0</v>
      </c>
      <c r="D28" s="668">
        <v>2</v>
      </c>
      <c r="E28" s="668">
        <v>0</v>
      </c>
      <c r="F28" s="673">
        <v>1979.2322999999999</v>
      </c>
      <c r="G28" s="664">
        <v>5816.5684000000001</v>
      </c>
      <c r="H28" s="664">
        <v>2152.9</v>
      </c>
      <c r="I28" s="665">
        <v>84014.182400000005</v>
      </c>
      <c r="J28" s="664">
        <v>112355.5</v>
      </c>
      <c r="K28" s="663">
        <v>95584</v>
      </c>
      <c r="L28" s="673">
        <v>0</v>
      </c>
      <c r="M28" s="673">
        <v>0</v>
      </c>
      <c r="N28" s="664">
        <v>0</v>
      </c>
      <c r="O28" s="665">
        <f>SUM(F28:H28)*C28/100+SUM(I28:K28)*D28/100+SUM(L28:N28)*E28/100</f>
        <v>5839.0736479999996</v>
      </c>
      <c r="P28" s="671"/>
      <c r="Q28" s="916"/>
      <c r="R28" s="918"/>
      <c r="S28" s="914"/>
    </row>
    <row r="29" spans="1:19" s="915" customFormat="1" ht="18.600000000000001" hidden="1" thickBot="1">
      <c r="A29" s="908">
        <v>8</v>
      </c>
      <c r="B29" s="1160" t="s">
        <v>76</v>
      </c>
      <c r="C29" s="1123"/>
      <c r="D29" s="674"/>
      <c r="E29" s="674"/>
      <c r="F29" s="675"/>
      <c r="G29" s="675"/>
      <c r="H29" s="675"/>
      <c r="I29" s="675"/>
      <c r="J29" s="675"/>
      <c r="K29" s="675"/>
      <c r="L29" s="675"/>
      <c r="M29" s="675"/>
      <c r="N29" s="675"/>
      <c r="O29" s="676">
        <f>O30</f>
        <v>0</v>
      </c>
      <c r="P29" s="677">
        <v>0</v>
      </c>
      <c r="Q29" s="917">
        <v>0</v>
      </c>
      <c r="R29" s="918">
        <f>O29-P29-Q29</f>
        <v>0</v>
      </c>
      <c r="S29" s="919">
        <f>R29</f>
        <v>0</v>
      </c>
    </row>
    <row r="30" spans="1:19" s="915" customFormat="1" ht="28.8" hidden="1" thickBot="1">
      <c r="A30" s="908"/>
      <c r="B30" s="1161" t="s">
        <v>72</v>
      </c>
      <c r="C30" s="1124">
        <v>0</v>
      </c>
      <c r="D30" s="816">
        <v>0</v>
      </c>
      <c r="E30" s="816">
        <v>0</v>
      </c>
      <c r="F30" s="670">
        <v>3744.2750000000001</v>
      </c>
      <c r="G30" s="669">
        <v>2995.3</v>
      </c>
      <c r="H30" s="669">
        <v>1073.3</v>
      </c>
      <c r="I30" s="670">
        <v>35.393999999999998</v>
      </c>
      <c r="J30" s="669">
        <v>30.1</v>
      </c>
      <c r="K30" s="669">
        <v>361</v>
      </c>
      <c r="L30" s="670">
        <v>0</v>
      </c>
      <c r="M30" s="670">
        <v>0</v>
      </c>
      <c r="N30" s="669">
        <v>0</v>
      </c>
      <c r="O30" s="665">
        <f>SUM(F30:H30)*C30/100+SUM(I30:K30)*D30/100+SUM(L30:N30)*E30/100</f>
        <v>0</v>
      </c>
      <c r="P30" s="671"/>
      <c r="Q30" s="916"/>
      <c r="R30" s="918"/>
      <c r="S30" s="914"/>
    </row>
    <row r="31" spans="1:19" s="915" customFormat="1" ht="18.600000000000001" hidden="1" thickBot="1">
      <c r="A31" s="908">
        <v>9</v>
      </c>
      <c r="B31" s="1160" t="s">
        <v>77</v>
      </c>
      <c r="C31" s="1123"/>
      <c r="D31" s="674"/>
      <c r="E31" s="674"/>
      <c r="F31" s="675"/>
      <c r="G31" s="675"/>
      <c r="H31" s="675"/>
      <c r="I31" s="675"/>
      <c r="J31" s="675"/>
      <c r="K31" s="675"/>
      <c r="L31" s="675"/>
      <c r="M31" s="675"/>
      <c r="N31" s="675"/>
      <c r="O31" s="676">
        <f>O32+O33</f>
        <v>0</v>
      </c>
      <c r="P31" s="677">
        <v>0</v>
      </c>
      <c r="Q31" s="917">
        <v>682.3</v>
      </c>
      <c r="R31" s="918">
        <f>O31-P31-Q31</f>
        <v>-682.3</v>
      </c>
      <c r="S31" s="919"/>
    </row>
    <row r="32" spans="1:19" s="915" customFormat="1" ht="27.75" hidden="1" customHeight="1">
      <c r="A32" s="908"/>
      <c r="B32" s="1161" t="s">
        <v>369</v>
      </c>
      <c r="C32" s="1124">
        <v>0</v>
      </c>
      <c r="D32" s="816">
        <v>0</v>
      </c>
      <c r="E32" s="816">
        <v>0</v>
      </c>
      <c r="F32" s="673">
        <v>1979.2322999999999</v>
      </c>
      <c r="G32" s="664">
        <v>5816.5684000000001</v>
      </c>
      <c r="H32" s="664">
        <v>2152.9</v>
      </c>
      <c r="I32" s="673">
        <v>84014.182400000005</v>
      </c>
      <c r="J32" s="669">
        <v>112355.49</v>
      </c>
      <c r="K32" s="663">
        <v>95584</v>
      </c>
      <c r="L32" s="673">
        <v>0</v>
      </c>
      <c r="M32" s="673">
        <v>0</v>
      </c>
      <c r="N32" s="664">
        <v>0</v>
      </c>
      <c r="O32" s="665">
        <f>SUM(F32:H32)*C32/100+SUM(I32:K32)*D32/100+SUM(L32:N32)*E32/100</f>
        <v>0</v>
      </c>
      <c r="P32" s="671"/>
      <c r="Q32" s="916"/>
      <c r="R32" s="918"/>
      <c r="S32" s="914"/>
    </row>
    <row r="33" spans="1:19" s="915" customFormat="1" ht="28.8" hidden="1" thickBot="1">
      <c r="A33" s="908"/>
      <c r="B33" s="1161" t="s">
        <v>72</v>
      </c>
      <c r="C33" s="1124">
        <v>0</v>
      </c>
      <c r="D33" s="816">
        <v>0</v>
      </c>
      <c r="E33" s="816">
        <v>0</v>
      </c>
      <c r="F33" s="670">
        <v>3744.2750000000001</v>
      </c>
      <c r="G33" s="669">
        <v>2995.3</v>
      </c>
      <c r="H33" s="669">
        <v>1073.3</v>
      </c>
      <c r="I33" s="670">
        <v>35.393999999999998</v>
      </c>
      <c r="J33" s="669">
        <v>30.1</v>
      </c>
      <c r="K33" s="669">
        <v>361</v>
      </c>
      <c r="L33" s="670">
        <v>0</v>
      </c>
      <c r="M33" s="670">
        <v>0</v>
      </c>
      <c r="N33" s="669">
        <v>0</v>
      </c>
      <c r="O33" s="665">
        <f>SUM(F33:H33)*C33/100+SUM(I33:K33)*D33/100+SUM(L33:N33)*E33/100</f>
        <v>0</v>
      </c>
      <c r="P33" s="671"/>
      <c r="Q33" s="916"/>
      <c r="R33" s="918"/>
      <c r="S33" s="914"/>
    </row>
    <row r="34" spans="1:19" s="873" customFormat="1" ht="18.600000000000001" hidden="1" thickBot="1">
      <c r="A34" s="865"/>
      <c r="B34" s="1163" t="s">
        <v>358</v>
      </c>
      <c r="C34" s="1127"/>
      <c r="D34" s="657"/>
      <c r="E34" s="657"/>
      <c r="F34" s="680"/>
      <c r="G34" s="680"/>
      <c r="H34" s="675"/>
      <c r="I34" s="680"/>
      <c r="J34" s="680"/>
      <c r="K34" s="681"/>
      <c r="L34" s="680"/>
      <c r="M34" s="680"/>
      <c r="N34" s="681"/>
      <c r="O34" s="658">
        <f>SUM(O35:O36)</f>
        <v>0</v>
      </c>
      <c r="P34" s="660">
        <v>0</v>
      </c>
      <c r="Q34" s="938">
        <v>1192</v>
      </c>
      <c r="R34" s="918">
        <f>O34-P34-Q34</f>
        <v>-1192</v>
      </c>
      <c r="S34" s="939"/>
    </row>
    <row r="35" spans="1:19" ht="18.600000000000001" hidden="1" thickBot="1">
      <c r="B35" s="1164" t="s">
        <v>369</v>
      </c>
      <c r="C35" s="1124">
        <v>0</v>
      </c>
      <c r="D35" s="816">
        <v>0</v>
      </c>
      <c r="E35" s="816">
        <v>0</v>
      </c>
      <c r="F35" s="673">
        <v>1979.2322999999999</v>
      </c>
      <c r="G35" s="664">
        <v>5816.5684000000001</v>
      </c>
      <c r="H35" s="664">
        <v>2152.9</v>
      </c>
      <c r="I35" s="673">
        <v>84014.182400000005</v>
      </c>
      <c r="J35" s="669">
        <v>112355.49</v>
      </c>
      <c r="K35" s="663">
        <v>95584</v>
      </c>
      <c r="L35" s="673">
        <v>0</v>
      </c>
      <c r="M35" s="673">
        <v>0</v>
      </c>
      <c r="N35" s="664">
        <v>0</v>
      </c>
      <c r="O35" s="665">
        <f>SUM(F35:H35)*C35/100+SUM(I35:K35)*D35/100+SUM(L35:N35)*E35/100</f>
        <v>0</v>
      </c>
      <c r="P35" s="682"/>
      <c r="Q35" s="940"/>
      <c r="R35" s="918"/>
      <c r="S35" s="941"/>
    </row>
    <row r="36" spans="1:19" ht="28.8" hidden="1" thickBot="1">
      <c r="B36" s="1164" t="s">
        <v>72</v>
      </c>
      <c r="C36" s="1124">
        <v>0</v>
      </c>
      <c r="D36" s="816">
        <v>0</v>
      </c>
      <c r="E36" s="816">
        <v>0</v>
      </c>
      <c r="F36" s="670">
        <v>3744.2750000000001</v>
      </c>
      <c r="G36" s="669">
        <v>2995.3</v>
      </c>
      <c r="H36" s="669">
        <v>1073.3</v>
      </c>
      <c r="I36" s="670">
        <v>35.393999999999998</v>
      </c>
      <c r="J36" s="669">
        <v>30.146000000000001</v>
      </c>
      <c r="K36" s="669">
        <v>361</v>
      </c>
      <c r="L36" s="670">
        <v>0</v>
      </c>
      <c r="M36" s="670">
        <v>0</v>
      </c>
      <c r="N36" s="669">
        <v>0</v>
      </c>
      <c r="O36" s="665">
        <f>SUM(F36:H36)*C36/100+SUM(I36:K36)*D36/100+SUM(L36:N36)*E36/100</f>
        <v>0</v>
      </c>
      <c r="P36" s="682"/>
      <c r="Q36" s="940"/>
      <c r="R36" s="918"/>
      <c r="S36" s="941"/>
    </row>
    <row r="37" spans="1:19" s="943" customFormat="1" ht="18.600000000000001" hidden="1" thickBot="1">
      <c r="A37" s="942"/>
      <c r="B37" s="1163" t="s">
        <v>359</v>
      </c>
      <c r="C37" s="1128"/>
      <c r="D37" s="685"/>
      <c r="E37" s="685"/>
      <c r="F37" s="686"/>
      <c r="G37" s="686"/>
      <c r="H37" s="687"/>
      <c r="I37" s="686"/>
      <c r="J37" s="686"/>
      <c r="K37" s="688"/>
      <c r="L37" s="686"/>
      <c r="M37" s="686"/>
      <c r="N37" s="688"/>
      <c r="O37" s="658">
        <f>SUM(O38)</f>
        <v>0</v>
      </c>
      <c r="P37" s="660">
        <v>0</v>
      </c>
      <c r="Q37" s="938">
        <v>0</v>
      </c>
      <c r="R37" s="918">
        <f>O37-P37-Q37</f>
        <v>0</v>
      </c>
      <c r="S37" s="939">
        <f>R37</f>
        <v>0</v>
      </c>
    </row>
    <row r="38" spans="1:19" ht="18.600000000000001" hidden="1" thickBot="1">
      <c r="B38" s="1164" t="s">
        <v>369</v>
      </c>
      <c r="C38" s="1124">
        <v>0</v>
      </c>
      <c r="D38" s="816">
        <v>0</v>
      </c>
      <c r="E38" s="816">
        <v>0</v>
      </c>
      <c r="F38" s="673">
        <v>1979.2322999999999</v>
      </c>
      <c r="G38" s="664">
        <v>5816.5684000000001</v>
      </c>
      <c r="H38" s="664">
        <v>2152.9</v>
      </c>
      <c r="I38" s="673">
        <v>84014.182400000005</v>
      </c>
      <c r="J38" s="669">
        <v>112355.49</v>
      </c>
      <c r="K38" s="663">
        <v>95584</v>
      </c>
      <c r="L38" s="673">
        <v>0</v>
      </c>
      <c r="M38" s="673">
        <v>0</v>
      </c>
      <c r="N38" s="664">
        <v>0</v>
      </c>
      <c r="O38" s="665">
        <f>SUM(F38:H38)*C38/100+SUM(I38:K38)*D38/100+SUM(L38:N38)*E38/100</f>
        <v>0</v>
      </c>
      <c r="P38" s="682"/>
      <c r="Q38" s="940"/>
      <c r="R38" s="918"/>
      <c r="S38" s="941"/>
    </row>
    <row r="39" spans="1:19" s="943" customFormat="1" ht="18.600000000000001" hidden="1" thickBot="1">
      <c r="A39" s="942"/>
      <c r="B39" s="1163" t="s">
        <v>360</v>
      </c>
      <c r="C39" s="1128"/>
      <c r="D39" s="685"/>
      <c r="E39" s="685"/>
      <c r="F39" s="686"/>
      <c r="G39" s="686"/>
      <c r="H39" s="687"/>
      <c r="I39" s="686"/>
      <c r="J39" s="686"/>
      <c r="K39" s="688"/>
      <c r="L39" s="686"/>
      <c r="M39" s="686"/>
      <c r="N39" s="688"/>
      <c r="O39" s="658">
        <f>SUM(O40+O41)</f>
        <v>0</v>
      </c>
      <c r="P39" s="660">
        <v>0</v>
      </c>
      <c r="Q39" s="938">
        <v>0</v>
      </c>
      <c r="R39" s="918">
        <f>O39-P39-Q39</f>
        <v>0</v>
      </c>
      <c r="S39" s="939">
        <f>R39</f>
        <v>0</v>
      </c>
    </row>
    <row r="40" spans="1:19" s="873" customFormat="1" ht="18.600000000000001" hidden="1" thickBot="1">
      <c r="A40" s="944"/>
      <c r="B40" s="1164" t="s">
        <v>361</v>
      </c>
      <c r="C40" s="1124">
        <v>0</v>
      </c>
      <c r="D40" s="816">
        <v>0</v>
      </c>
      <c r="E40" s="816">
        <v>0</v>
      </c>
      <c r="F40" s="673">
        <v>1979.2322999999999</v>
      </c>
      <c r="G40" s="664">
        <v>5816.5684000000001</v>
      </c>
      <c r="H40" s="664">
        <v>2152.9</v>
      </c>
      <c r="I40" s="673">
        <v>84014.182400000005</v>
      </c>
      <c r="J40" s="669">
        <v>112355.49</v>
      </c>
      <c r="K40" s="663">
        <v>95584</v>
      </c>
      <c r="L40" s="673">
        <v>0</v>
      </c>
      <c r="M40" s="673">
        <v>0</v>
      </c>
      <c r="N40" s="664">
        <v>0</v>
      </c>
      <c r="O40" s="665">
        <f>SUM(F40:H40)*C40/100+SUM(I40:K40)*D40/100+SUM(L40:N40)*E40/100</f>
        <v>0</v>
      </c>
      <c r="P40" s="945"/>
      <c r="Q40" s="946"/>
      <c r="R40" s="918"/>
      <c r="S40" s="941"/>
    </row>
    <row r="41" spans="1:19" ht="33.75" hidden="1" customHeight="1">
      <c r="A41" s="947"/>
      <c r="B41" s="1164" t="s">
        <v>72</v>
      </c>
      <c r="C41" s="1125">
        <v>0</v>
      </c>
      <c r="D41" s="920">
        <v>0</v>
      </c>
      <c r="E41" s="920">
        <v>0</v>
      </c>
      <c r="F41" s="948">
        <v>3744.2750000000001</v>
      </c>
      <c r="G41" s="949">
        <v>2995.3</v>
      </c>
      <c r="H41" s="949">
        <v>1073.3</v>
      </c>
      <c r="I41" s="948">
        <v>35.393999999999998</v>
      </c>
      <c r="J41" s="949">
        <v>30.146000000000001</v>
      </c>
      <c r="K41" s="949">
        <v>361</v>
      </c>
      <c r="L41" s="948">
        <v>0</v>
      </c>
      <c r="M41" s="948">
        <v>0</v>
      </c>
      <c r="N41" s="949">
        <v>0</v>
      </c>
      <c r="O41" s="923">
        <f>SUM(F41:H41)*C41/100+SUM(I41:K41)*D41/100+SUM(L41:N41)*E41/100</f>
        <v>0</v>
      </c>
      <c r="P41" s="950"/>
      <c r="Q41" s="951"/>
      <c r="R41" s="918"/>
      <c r="S41" s="941"/>
    </row>
    <row r="42" spans="1:19" s="873" customFormat="1" ht="18.600000000000001" thickBot="1">
      <c r="A42" s="944"/>
      <c r="B42" s="1165" t="s">
        <v>298</v>
      </c>
      <c r="C42" s="1119"/>
      <c r="D42" s="896"/>
      <c r="E42" s="896"/>
      <c r="F42" s="952"/>
      <c r="G42" s="952"/>
      <c r="H42" s="928"/>
      <c r="I42" s="952"/>
      <c r="J42" s="952"/>
      <c r="K42" s="953"/>
      <c r="L42" s="952"/>
      <c r="M42" s="952"/>
      <c r="N42" s="953"/>
      <c r="O42" s="954">
        <f>SUM(O43+O44)</f>
        <v>805.40457800000013</v>
      </c>
      <c r="P42" s="899">
        <v>2119.6999999999998</v>
      </c>
      <c r="Q42" s="900">
        <v>0</v>
      </c>
      <c r="R42" s="871">
        <f>O42-P42-Q42</f>
        <v>-1314.2954219999997</v>
      </c>
      <c r="S42" s="932"/>
    </row>
    <row r="43" spans="1:19" ht="18">
      <c r="A43" s="947"/>
      <c r="B43" s="1182" t="s">
        <v>370</v>
      </c>
      <c r="C43" s="1129">
        <v>4.5</v>
      </c>
      <c r="D43" s="955">
        <v>0</v>
      </c>
      <c r="E43" s="955">
        <v>0</v>
      </c>
      <c r="F43" s="933">
        <v>5816.5684000000001</v>
      </c>
      <c r="G43" s="933">
        <v>2152.9</v>
      </c>
      <c r="H43" s="956">
        <v>2454.9</v>
      </c>
      <c r="I43" s="910">
        <v>112355.49</v>
      </c>
      <c r="J43" s="935">
        <v>95584</v>
      </c>
      <c r="K43" s="935">
        <v>202144.1</v>
      </c>
      <c r="L43" s="911">
        <v>0</v>
      </c>
      <c r="M43" s="911">
        <v>0</v>
      </c>
      <c r="N43" s="933">
        <v>0</v>
      </c>
      <c r="O43" s="936">
        <f>SUM(F43:H43)*C43/100+SUM(I43:K43)*D43/100+SUM(L43:N43)*E43/100</f>
        <v>469.09657800000002</v>
      </c>
      <c r="P43" s="957"/>
      <c r="Q43" s="958"/>
      <c r="R43" s="880"/>
      <c r="S43" s="941"/>
    </row>
    <row r="44" spans="1:19" ht="18.600000000000001" thickBot="1">
      <c r="A44" s="947"/>
      <c r="B44" s="1189" t="s">
        <v>321</v>
      </c>
      <c r="C44" s="1124">
        <v>7</v>
      </c>
      <c r="D44" s="816">
        <v>0</v>
      </c>
      <c r="E44" s="816">
        <v>0</v>
      </c>
      <c r="F44" s="817">
        <v>2995.3</v>
      </c>
      <c r="G44" s="817">
        <v>1073.3</v>
      </c>
      <c r="H44" s="1193">
        <v>735.8</v>
      </c>
      <c r="I44" s="817">
        <v>30.146000000000001</v>
      </c>
      <c r="J44" s="817">
        <v>361</v>
      </c>
      <c r="K44" s="816">
        <v>323.8</v>
      </c>
      <c r="L44" s="818">
        <v>0</v>
      </c>
      <c r="M44" s="818">
        <v>0</v>
      </c>
      <c r="N44" s="817">
        <v>0</v>
      </c>
      <c r="O44" s="1194">
        <f>SUM(F44:H44)*C44/100+SUM(I44:K44)*D44/100+SUM(L44:N44)*E44/100</f>
        <v>336.30800000000005</v>
      </c>
      <c r="P44" s="682"/>
      <c r="Q44" s="940"/>
      <c r="R44" s="884"/>
      <c r="S44" s="881"/>
    </row>
    <row r="45" spans="1:19" ht="18.600000000000001" thickBot="1">
      <c r="B45" s="796" t="s">
        <v>299</v>
      </c>
      <c r="C45" s="1130"/>
      <c r="D45" s="959"/>
      <c r="E45" s="959"/>
      <c r="F45" s="960"/>
      <c r="G45" s="960"/>
      <c r="H45" s="960"/>
      <c r="I45" s="960"/>
      <c r="J45" s="960"/>
      <c r="K45" s="960"/>
      <c r="L45" s="960"/>
      <c r="M45" s="960"/>
      <c r="N45" s="960"/>
      <c r="O45" s="959"/>
      <c r="P45" s="961"/>
      <c r="Q45" s="962"/>
      <c r="R45" s="963"/>
      <c r="S45" s="881"/>
    </row>
    <row r="46" spans="1:19" ht="18.600000000000001" thickBot="1">
      <c r="A46" s="859">
        <v>10</v>
      </c>
      <c r="B46" s="697" t="s">
        <v>245</v>
      </c>
      <c r="C46" s="1131"/>
      <c r="D46" s="964"/>
      <c r="E46" s="964"/>
      <c r="F46" s="965"/>
      <c r="G46" s="965"/>
      <c r="H46" s="965"/>
      <c r="I46" s="965"/>
      <c r="J46" s="965"/>
      <c r="K46" s="965"/>
      <c r="L46" s="965"/>
      <c r="M46" s="965"/>
      <c r="N46" s="965"/>
      <c r="O46" s="964">
        <f>O47</f>
        <v>30724.93</v>
      </c>
      <c r="P46" s="966">
        <v>8078.9</v>
      </c>
      <c r="Q46" s="967">
        <v>0</v>
      </c>
      <c r="R46" s="871">
        <f>O46-P46-Q46</f>
        <v>22646.03</v>
      </c>
      <c r="S46" s="932">
        <f>R46</f>
        <v>22646.03</v>
      </c>
    </row>
    <row r="47" spans="1:19" ht="18.600000000000001" thickBot="1">
      <c r="B47" s="1197" t="s">
        <v>322</v>
      </c>
      <c r="C47" s="1195">
        <v>60</v>
      </c>
      <c r="D47" s="1196">
        <v>100</v>
      </c>
      <c r="E47" s="1196">
        <v>30</v>
      </c>
      <c r="F47" s="1198">
        <v>15242.8</v>
      </c>
      <c r="G47" s="1198">
        <v>9677.7999999999993</v>
      </c>
      <c r="H47" s="1199">
        <v>16013.1</v>
      </c>
      <c r="I47" s="1198">
        <v>225.6</v>
      </c>
      <c r="J47" s="1198">
        <v>203.6</v>
      </c>
      <c r="K47" s="1199">
        <v>3770.9</v>
      </c>
      <c r="L47" s="1198">
        <v>1888.1</v>
      </c>
      <c r="M47" s="1198">
        <v>2067.9</v>
      </c>
      <c r="N47" s="1199">
        <v>2592.6999999999998</v>
      </c>
      <c r="O47" s="1196">
        <f>SUM(F47:H47)*C47/100+SUM(I47:K47)*D47/100+SUM(L47:N47)*E47/100</f>
        <v>30724.93</v>
      </c>
      <c r="P47" s="968"/>
      <c r="Q47" s="969"/>
      <c r="R47" s="880"/>
      <c r="S47" s="881"/>
    </row>
    <row r="48" spans="1:19" ht="18.600000000000001" thickBot="1">
      <c r="A48" s="859">
        <v>11</v>
      </c>
      <c r="B48" s="697" t="s">
        <v>246</v>
      </c>
      <c r="C48" s="1131"/>
      <c r="D48" s="964"/>
      <c r="E48" s="964"/>
      <c r="F48" s="970"/>
      <c r="G48" s="970"/>
      <c r="H48" s="970"/>
      <c r="I48" s="970"/>
      <c r="J48" s="970"/>
      <c r="K48" s="970"/>
      <c r="L48" s="970"/>
      <c r="M48" s="970"/>
      <c r="N48" s="970"/>
      <c r="O48" s="964">
        <f>O49+O50</f>
        <v>37588.856</v>
      </c>
      <c r="P48" s="966">
        <v>8428.6</v>
      </c>
      <c r="Q48" s="967">
        <v>12721.9</v>
      </c>
      <c r="R48" s="871">
        <f>O48-P48-Q48</f>
        <v>16438.356</v>
      </c>
      <c r="S48" s="872">
        <f>R48</f>
        <v>16438.356</v>
      </c>
    </row>
    <row r="49" spans="1:19" ht="18">
      <c r="B49" s="1197" t="s">
        <v>322</v>
      </c>
      <c r="C49" s="1200">
        <v>40</v>
      </c>
      <c r="D49" s="1201">
        <v>0</v>
      </c>
      <c r="E49" s="1201">
        <v>70</v>
      </c>
      <c r="F49" s="1202">
        <v>15242.8</v>
      </c>
      <c r="G49" s="1202">
        <v>9677.7999999999993</v>
      </c>
      <c r="H49" s="1201">
        <v>16013.1</v>
      </c>
      <c r="I49" s="1202">
        <v>225.6</v>
      </c>
      <c r="J49" s="1202">
        <v>203.6</v>
      </c>
      <c r="K49" s="1201">
        <v>3770.9</v>
      </c>
      <c r="L49" s="1202">
        <v>1888.1</v>
      </c>
      <c r="M49" s="1202">
        <v>2067.9</v>
      </c>
      <c r="N49" s="1201">
        <v>2592.6999999999998</v>
      </c>
      <c r="O49" s="1201">
        <f>SUM(F49:H49)*C49/100+SUM(I49:K49)*D49/100+SUM(L49:N49)*E49/100</f>
        <v>20957.57</v>
      </c>
      <c r="P49" s="971"/>
      <c r="Q49" s="972"/>
      <c r="R49" s="880"/>
      <c r="S49" s="881"/>
    </row>
    <row r="50" spans="1:19" ht="18.600000000000001" thickBot="1">
      <c r="B50" s="1197" t="s">
        <v>356</v>
      </c>
      <c r="C50" s="1133">
        <v>100</v>
      </c>
      <c r="D50" s="707">
        <v>100</v>
      </c>
      <c r="E50" s="707">
        <v>100</v>
      </c>
      <c r="F50" s="843">
        <v>6651.1580000000004</v>
      </c>
      <c r="G50" s="843">
        <v>4891.5</v>
      </c>
      <c r="H50" s="707">
        <v>4832.3999999999996</v>
      </c>
      <c r="I50" s="843">
        <v>77.230999999999995</v>
      </c>
      <c r="J50" s="843">
        <v>80.3</v>
      </c>
      <c r="K50" s="707">
        <v>70.8</v>
      </c>
      <c r="L50" s="843">
        <v>27.896999999999998</v>
      </c>
      <c r="M50" s="843">
        <v>0</v>
      </c>
      <c r="N50" s="707">
        <v>0</v>
      </c>
      <c r="O50" s="1201">
        <f>SUM(F50:H50)*C50/100+SUM(I50:K50)*D50/100+SUM(L50:N50)*E50/100</f>
        <v>16631.285999999996</v>
      </c>
      <c r="P50" s="705"/>
      <c r="Q50" s="973"/>
      <c r="R50" s="884"/>
      <c r="S50" s="881"/>
    </row>
    <row r="51" spans="1:19" ht="18.600000000000001" hidden="1" thickBot="1">
      <c r="A51" s="859">
        <v>12</v>
      </c>
      <c r="B51" s="1166" t="s">
        <v>81</v>
      </c>
      <c r="C51" s="1132"/>
      <c r="D51" s="698"/>
      <c r="E51" s="698"/>
      <c r="F51" s="704"/>
      <c r="G51" s="704"/>
      <c r="H51" s="704"/>
      <c r="I51" s="704"/>
      <c r="J51" s="704"/>
      <c r="K51" s="704"/>
      <c r="L51" s="704"/>
      <c r="M51" s="704"/>
      <c r="N51" s="704"/>
      <c r="O51" s="698">
        <f>O52</f>
        <v>0</v>
      </c>
      <c r="P51" s="974">
        <v>0</v>
      </c>
      <c r="Q51" s="975">
        <v>0</v>
      </c>
      <c r="R51" s="918">
        <f>O51-P51-Q51</f>
        <v>0</v>
      </c>
      <c r="S51" s="976">
        <f>R51</f>
        <v>0</v>
      </c>
    </row>
    <row r="52" spans="1:19" ht="28.8" hidden="1" thickBot="1">
      <c r="B52" s="1167" t="s">
        <v>86</v>
      </c>
      <c r="C52" s="1133">
        <v>0</v>
      </c>
      <c r="D52" s="707">
        <v>0</v>
      </c>
      <c r="E52" s="707">
        <v>0</v>
      </c>
      <c r="F52" s="701">
        <v>13645.062</v>
      </c>
      <c r="G52" s="701">
        <v>15242.8</v>
      </c>
      <c r="H52" s="701">
        <v>9677.7999999999993</v>
      </c>
      <c r="I52" s="701">
        <v>216.84</v>
      </c>
      <c r="J52" s="701">
        <v>225.6</v>
      </c>
      <c r="K52" s="701">
        <v>203.6</v>
      </c>
      <c r="L52" s="701">
        <v>1713.35</v>
      </c>
      <c r="M52" s="701">
        <v>1888.1</v>
      </c>
      <c r="N52" s="701">
        <v>2067.9</v>
      </c>
      <c r="O52" s="702">
        <f>SUM(F52:H52)*C52/100+SUM(I52:K52)*D52/100+SUM(L52:N52)*E52/100</f>
        <v>0</v>
      </c>
      <c r="P52" s="705"/>
      <c r="Q52" s="973"/>
      <c r="R52" s="918"/>
      <c r="S52" s="881"/>
    </row>
    <row r="53" spans="1:19" ht="18.600000000000001" hidden="1" thickBot="1">
      <c r="A53" s="859">
        <v>13</v>
      </c>
      <c r="B53" s="1166" t="s">
        <v>82</v>
      </c>
      <c r="C53" s="1132"/>
      <c r="D53" s="698"/>
      <c r="E53" s="698"/>
      <c r="F53" s="704"/>
      <c r="G53" s="704"/>
      <c r="H53" s="704"/>
      <c r="I53" s="704"/>
      <c r="J53" s="704"/>
      <c r="K53" s="704"/>
      <c r="L53" s="704"/>
      <c r="M53" s="704"/>
      <c r="N53" s="704"/>
      <c r="O53" s="698">
        <f>O54</f>
        <v>0</v>
      </c>
      <c r="P53" s="974">
        <v>5842.8</v>
      </c>
      <c r="Q53" s="975">
        <v>0</v>
      </c>
      <c r="R53" s="918">
        <f>O53-P53-Q53</f>
        <v>-5842.8</v>
      </c>
      <c r="S53" s="976"/>
    </row>
    <row r="54" spans="1:19" ht="28.8" hidden="1" thickBot="1">
      <c r="B54" s="1167" t="s">
        <v>86</v>
      </c>
      <c r="C54" s="1133">
        <v>0</v>
      </c>
      <c r="D54" s="707">
        <v>0</v>
      </c>
      <c r="E54" s="707">
        <v>0</v>
      </c>
      <c r="F54" s="701">
        <v>13645.062</v>
      </c>
      <c r="G54" s="701">
        <v>15242.8</v>
      </c>
      <c r="H54" s="701">
        <v>9677.7999999999993</v>
      </c>
      <c r="I54" s="701">
        <v>216.84</v>
      </c>
      <c r="J54" s="701">
        <v>225.6</v>
      </c>
      <c r="K54" s="701">
        <v>203.6</v>
      </c>
      <c r="L54" s="701">
        <v>1713.35</v>
      </c>
      <c r="M54" s="701">
        <v>1888.1</v>
      </c>
      <c r="N54" s="701">
        <v>2067.9</v>
      </c>
      <c r="O54" s="702">
        <f>SUM(F54:H54)*C54/100+SUM(I54:K54)*D54/100+SUM(L54:N54)*E54/100</f>
        <v>0</v>
      </c>
      <c r="P54" s="705"/>
      <c r="Q54" s="973"/>
      <c r="R54" s="918"/>
      <c r="S54" s="881"/>
    </row>
    <row r="55" spans="1:19" ht="18.600000000000001" hidden="1" thickBot="1">
      <c r="A55" s="859">
        <v>14</v>
      </c>
      <c r="B55" s="1166" t="s">
        <v>83</v>
      </c>
      <c r="C55" s="1132"/>
      <c r="D55" s="698"/>
      <c r="E55" s="698"/>
      <c r="F55" s="704"/>
      <c r="G55" s="704"/>
      <c r="H55" s="704"/>
      <c r="I55" s="704"/>
      <c r="J55" s="704"/>
      <c r="K55" s="704"/>
      <c r="L55" s="704"/>
      <c r="M55" s="704"/>
      <c r="N55" s="704"/>
      <c r="O55" s="698">
        <f>O56</f>
        <v>0</v>
      </c>
      <c r="P55" s="974">
        <v>3340.3</v>
      </c>
      <c r="Q55" s="975">
        <v>1036</v>
      </c>
      <c r="R55" s="918">
        <f>O55-P55-Q55</f>
        <v>-4376.3</v>
      </c>
      <c r="S55" s="977"/>
    </row>
    <row r="56" spans="1:19" ht="28.8" hidden="1" thickBot="1">
      <c r="B56" s="1167" t="s">
        <v>87</v>
      </c>
      <c r="C56" s="1133">
        <v>0</v>
      </c>
      <c r="D56" s="707">
        <v>0</v>
      </c>
      <c r="E56" s="707">
        <v>0</v>
      </c>
      <c r="F56" s="701">
        <v>3202.79</v>
      </c>
      <c r="G56" s="701">
        <v>1360</v>
      </c>
      <c r="H56" s="701">
        <v>1460</v>
      </c>
      <c r="I56" s="701">
        <v>432.18900000000002</v>
      </c>
      <c r="J56" s="701">
        <v>210</v>
      </c>
      <c r="K56" s="701">
        <v>350</v>
      </c>
      <c r="L56" s="701">
        <v>0</v>
      </c>
      <c r="M56" s="701">
        <v>0</v>
      </c>
      <c r="N56" s="701">
        <v>0</v>
      </c>
      <c r="O56" s="702">
        <f>SUM(F56:H56)*C56/100+SUM(I56:K56)*D56/100+SUM(L56:N56)*E56/100</f>
        <v>0</v>
      </c>
      <c r="P56" s="705"/>
      <c r="Q56" s="973"/>
      <c r="R56" s="918"/>
      <c r="S56" s="881"/>
    </row>
    <row r="57" spans="1:19" ht="18.600000000000001" hidden="1" thickBot="1">
      <c r="A57" s="859">
        <v>15</v>
      </c>
      <c r="B57" s="1166" t="s">
        <v>84</v>
      </c>
      <c r="C57" s="1132"/>
      <c r="D57" s="698"/>
      <c r="E57" s="698"/>
      <c r="F57" s="704"/>
      <c r="G57" s="704"/>
      <c r="H57" s="704"/>
      <c r="I57" s="704"/>
      <c r="J57" s="704"/>
      <c r="K57" s="704"/>
      <c r="L57" s="704"/>
      <c r="M57" s="704"/>
      <c r="N57" s="704"/>
      <c r="O57" s="698">
        <f>O58</f>
        <v>0</v>
      </c>
      <c r="P57" s="974">
        <v>1384.3</v>
      </c>
      <c r="Q57" s="975">
        <v>0</v>
      </c>
      <c r="R57" s="918">
        <f>O57-P57-Q57</f>
        <v>-1384.3</v>
      </c>
      <c r="S57" s="977"/>
    </row>
    <row r="58" spans="1:19" ht="28.8" hidden="1" thickBot="1">
      <c r="B58" s="1167" t="s">
        <v>87</v>
      </c>
      <c r="C58" s="1133">
        <v>0</v>
      </c>
      <c r="D58" s="707">
        <v>0</v>
      </c>
      <c r="E58" s="707">
        <v>0</v>
      </c>
      <c r="F58" s="701">
        <v>3202.79</v>
      </c>
      <c r="G58" s="701">
        <v>1360</v>
      </c>
      <c r="H58" s="701">
        <v>1460</v>
      </c>
      <c r="I58" s="701">
        <v>432.18900000000002</v>
      </c>
      <c r="J58" s="701">
        <v>210</v>
      </c>
      <c r="K58" s="701">
        <v>350</v>
      </c>
      <c r="L58" s="701">
        <v>0</v>
      </c>
      <c r="M58" s="701">
        <v>0</v>
      </c>
      <c r="N58" s="701">
        <v>0</v>
      </c>
      <c r="O58" s="702">
        <f>SUM(F58:H58)*C58/100+SUM(I58:K58)*D58/100+SUM(L58:N58)*E58/100</f>
        <v>0</v>
      </c>
      <c r="P58" s="705"/>
      <c r="Q58" s="973"/>
      <c r="R58" s="918"/>
      <c r="S58" s="881"/>
    </row>
    <row r="59" spans="1:19" ht="18.600000000000001" hidden="1" thickBot="1">
      <c r="A59" s="859">
        <v>16</v>
      </c>
      <c r="B59" s="1166" t="s">
        <v>85</v>
      </c>
      <c r="C59" s="1132"/>
      <c r="D59" s="698"/>
      <c r="E59" s="698"/>
      <c r="F59" s="704"/>
      <c r="G59" s="704"/>
      <c r="H59" s="704"/>
      <c r="I59" s="704"/>
      <c r="J59" s="704"/>
      <c r="K59" s="704"/>
      <c r="L59" s="704"/>
      <c r="M59" s="704"/>
      <c r="N59" s="704"/>
      <c r="O59" s="698">
        <f>O60+O61</f>
        <v>0</v>
      </c>
      <c r="P59" s="974">
        <v>0</v>
      </c>
      <c r="Q59" s="975">
        <v>0</v>
      </c>
      <c r="R59" s="918">
        <f>O59-P59-Q59</f>
        <v>0</v>
      </c>
      <c r="S59" s="976">
        <f>R59</f>
        <v>0</v>
      </c>
    </row>
    <row r="60" spans="1:19" ht="28.8" hidden="1" thickBot="1">
      <c r="B60" s="1167" t="s">
        <v>86</v>
      </c>
      <c r="C60" s="1133">
        <v>0</v>
      </c>
      <c r="D60" s="707">
        <v>0</v>
      </c>
      <c r="E60" s="707">
        <v>0</v>
      </c>
      <c r="F60" s="701">
        <v>13645.062</v>
      </c>
      <c r="G60" s="701">
        <v>15242.8</v>
      </c>
      <c r="H60" s="701">
        <v>9677.7999999999993</v>
      </c>
      <c r="I60" s="701">
        <v>216.84</v>
      </c>
      <c r="J60" s="701">
        <v>225.6</v>
      </c>
      <c r="K60" s="701">
        <v>203.6</v>
      </c>
      <c r="L60" s="701">
        <v>1713.35</v>
      </c>
      <c r="M60" s="701">
        <v>1888.1</v>
      </c>
      <c r="N60" s="701">
        <v>2067.9</v>
      </c>
      <c r="O60" s="702">
        <f>SUM(F60:H60)*C60/100+SUM(I60:K60)*D60/100+SUM(L60:N60)*E60/100</f>
        <v>0</v>
      </c>
      <c r="P60" s="705"/>
      <c r="Q60" s="973"/>
      <c r="R60" s="918"/>
      <c r="S60" s="881"/>
    </row>
    <row r="61" spans="1:19" ht="18.600000000000001" hidden="1" thickBot="1">
      <c r="B61" s="1167" t="s">
        <v>362</v>
      </c>
      <c r="C61" s="1133">
        <v>0</v>
      </c>
      <c r="D61" s="707">
        <v>0</v>
      </c>
      <c r="E61" s="707">
        <v>0</v>
      </c>
      <c r="F61" s="701">
        <v>6209.9530000000004</v>
      </c>
      <c r="G61" s="701">
        <v>6651.1580000000004</v>
      </c>
      <c r="H61" s="701">
        <v>4891.5</v>
      </c>
      <c r="I61" s="701">
        <v>72.31</v>
      </c>
      <c r="J61" s="701">
        <v>77.230999999999995</v>
      </c>
      <c r="K61" s="701">
        <v>80.3</v>
      </c>
      <c r="L61" s="701">
        <v>256.38299999999998</v>
      </c>
      <c r="M61" s="701">
        <v>27.896999999999998</v>
      </c>
      <c r="N61" s="701">
        <v>0</v>
      </c>
      <c r="O61" s="702">
        <f>SUM(F61:H61)*C61/100+SUM(I61:K61)*D61/100+SUM(L61:N61)*E61/100</f>
        <v>0</v>
      </c>
      <c r="P61" s="705"/>
      <c r="Q61" s="973"/>
      <c r="R61" s="918"/>
      <c r="S61" s="881"/>
    </row>
    <row r="62" spans="1:19" ht="18.600000000000001" hidden="1" thickBot="1">
      <c r="A62" s="859">
        <v>17</v>
      </c>
      <c r="B62" s="1166" t="s">
        <v>89</v>
      </c>
      <c r="C62" s="1134"/>
      <c r="D62" s="708"/>
      <c r="E62" s="708"/>
      <c r="F62" s="709"/>
      <c r="G62" s="709"/>
      <c r="H62" s="710"/>
      <c r="I62" s="710"/>
      <c r="J62" s="710"/>
      <c r="K62" s="710"/>
      <c r="L62" s="710"/>
      <c r="M62" s="710"/>
      <c r="N62" s="710"/>
      <c r="O62" s="711">
        <f>O63</f>
        <v>0</v>
      </c>
      <c r="P62" s="978">
        <v>0</v>
      </c>
      <c r="Q62" s="979">
        <v>0</v>
      </c>
      <c r="R62" s="980">
        <f>O62-P62-Q62</f>
        <v>0</v>
      </c>
      <c r="S62" s="981">
        <f>R62</f>
        <v>0</v>
      </c>
    </row>
    <row r="63" spans="1:19" ht="28.8" hidden="1" thickBot="1">
      <c r="B63" s="1167" t="s">
        <v>86</v>
      </c>
      <c r="C63" s="1135">
        <v>0</v>
      </c>
      <c r="D63" s="982">
        <v>0</v>
      </c>
      <c r="E63" s="982">
        <v>0</v>
      </c>
      <c r="F63" s="983">
        <v>13645.062</v>
      </c>
      <c r="G63" s="983">
        <v>15242.8</v>
      </c>
      <c r="H63" s="983">
        <v>9677.7999999999993</v>
      </c>
      <c r="I63" s="983">
        <v>216.84</v>
      </c>
      <c r="J63" s="983">
        <v>225.6</v>
      </c>
      <c r="K63" s="983">
        <v>203.6</v>
      </c>
      <c r="L63" s="983">
        <v>1713.35</v>
      </c>
      <c r="M63" s="983">
        <v>1888.1</v>
      </c>
      <c r="N63" s="983">
        <v>2067.9</v>
      </c>
      <c r="O63" s="984">
        <f>SUM(F63:H63)*C63/100+SUM(I63:K63)*D63/100+SUM(L63:N63)*E63/100</f>
        <v>0</v>
      </c>
      <c r="P63" s="985"/>
      <c r="Q63" s="986"/>
      <c r="R63" s="918"/>
      <c r="S63" s="881"/>
    </row>
    <row r="64" spans="1:19" ht="18.600000000000001" thickBot="1">
      <c r="A64" s="859">
        <v>18</v>
      </c>
      <c r="B64" s="1168" t="s">
        <v>252</v>
      </c>
      <c r="C64" s="1131"/>
      <c r="D64" s="964"/>
      <c r="E64" s="964"/>
      <c r="F64" s="970"/>
      <c r="G64" s="970"/>
      <c r="H64" s="970"/>
      <c r="I64" s="970"/>
      <c r="J64" s="970"/>
      <c r="K64" s="970"/>
      <c r="L64" s="987"/>
      <c r="M64" s="987"/>
      <c r="N64" s="987"/>
      <c r="O64" s="988">
        <f>O65</f>
        <v>3380</v>
      </c>
      <c r="P64" s="989">
        <v>1036</v>
      </c>
      <c r="Q64" s="990">
        <v>1254.3</v>
      </c>
      <c r="R64" s="871">
        <f>O64-P64-Q64</f>
        <v>1089.7</v>
      </c>
      <c r="S64" s="872">
        <f>R64</f>
        <v>1089.7</v>
      </c>
    </row>
    <row r="65" spans="1:19" ht="18">
      <c r="B65" s="1197" t="s">
        <v>281</v>
      </c>
      <c r="C65" s="1200">
        <v>100</v>
      </c>
      <c r="D65" s="1201">
        <v>100</v>
      </c>
      <c r="E65" s="1201">
        <v>100</v>
      </c>
      <c r="F65" s="1202">
        <v>1360</v>
      </c>
      <c r="G65" s="1202">
        <v>1460</v>
      </c>
      <c r="H65" s="1199">
        <v>0</v>
      </c>
      <c r="I65" s="1202">
        <v>210</v>
      </c>
      <c r="J65" s="1202">
        <v>350</v>
      </c>
      <c r="K65" s="1199">
        <v>0</v>
      </c>
      <c r="L65" s="1202">
        <v>0</v>
      </c>
      <c r="M65" s="1202">
        <v>0</v>
      </c>
      <c r="N65" s="1202">
        <v>0</v>
      </c>
      <c r="O65" s="1201">
        <f>SUM(F65:H65)*C65/100+SUM(I65:K65)*D65/100+SUM(L65:N65)*E65/100</f>
        <v>3380</v>
      </c>
      <c r="P65" s="971"/>
      <c r="Q65" s="972"/>
      <c r="R65" s="880"/>
      <c r="S65" s="881"/>
    </row>
    <row r="66" spans="1:19" ht="18" hidden="1">
      <c r="A66" s="859">
        <v>19</v>
      </c>
      <c r="B66" s="1166" t="s">
        <v>91</v>
      </c>
      <c r="C66" s="1132"/>
      <c r="D66" s="698"/>
      <c r="E66" s="698"/>
      <c r="F66" s="704"/>
      <c r="G66" s="704"/>
      <c r="H66" s="704"/>
      <c r="I66" s="704"/>
      <c r="J66" s="704"/>
      <c r="K66" s="704"/>
      <c r="L66" s="704"/>
      <c r="M66" s="704"/>
      <c r="N66" s="704"/>
      <c r="O66" s="698">
        <f>O67</f>
        <v>0</v>
      </c>
      <c r="P66" s="700">
        <v>0</v>
      </c>
      <c r="Q66" s="991">
        <v>0</v>
      </c>
      <c r="R66" s="918">
        <f>O66-P66-Q66</f>
        <v>0</v>
      </c>
      <c r="S66" s="977"/>
    </row>
    <row r="67" spans="1:19" ht="28.2" hidden="1">
      <c r="B67" s="1167" t="s">
        <v>87</v>
      </c>
      <c r="C67" s="1133">
        <v>0</v>
      </c>
      <c r="D67" s="707">
        <v>0</v>
      </c>
      <c r="E67" s="707">
        <v>0</v>
      </c>
      <c r="F67" s="701">
        <v>3202.79</v>
      </c>
      <c r="G67" s="701">
        <v>1360</v>
      </c>
      <c r="H67" s="701">
        <v>1460</v>
      </c>
      <c r="I67" s="701">
        <v>432.18900000000002</v>
      </c>
      <c r="J67" s="701">
        <v>210</v>
      </c>
      <c r="K67" s="701">
        <v>350</v>
      </c>
      <c r="L67" s="701">
        <v>0</v>
      </c>
      <c r="M67" s="701">
        <v>0</v>
      </c>
      <c r="N67" s="701">
        <v>0</v>
      </c>
      <c r="O67" s="702">
        <f>SUM(F67:H67)*C67/100+SUM(I67:K67)*D67/100+SUM(L67:N67)*E67/100</f>
        <v>0</v>
      </c>
      <c r="P67" s="705"/>
      <c r="Q67" s="973"/>
      <c r="R67" s="918"/>
      <c r="S67" s="881"/>
    </row>
    <row r="68" spans="1:19" ht="18" hidden="1">
      <c r="A68" s="859">
        <v>20</v>
      </c>
      <c r="B68" s="1166" t="s">
        <v>92</v>
      </c>
      <c r="C68" s="1136"/>
      <c r="D68" s="992"/>
      <c r="E68" s="992"/>
      <c r="F68" s="704"/>
      <c r="G68" s="704"/>
      <c r="H68" s="704"/>
      <c r="I68" s="704"/>
      <c r="J68" s="704"/>
      <c r="K68" s="704"/>
      <c r="L68" s="704"/>
      <c r="M68" s="704"/>
      <c r="N68" s="704"/>
      <c r="O68" s="698">
        <f>O69</f>
        <v>0</v>
      </c>
      <c r="P68" s="700">
        <v>0</v>
      </c>
      <c r="Q68" s="991">
        <v>0</v>
      </c>
      <c r="R68" s="918">
        <f>O68-P68-Q68</f>
        <v>0</v>
      </c>
      <c r="S68" s="977"/>
    </row>
    <row r="69" spans="1:19" ht="28.2" hidden="1">
      <c r="B69" s="1167" t="s">
        <v>87</v>
      </c>
      <c r="C69" s="1133">
        <v>0</v>
      </c>
      <c r="D69" s="707">
        <v>0</v>
      </c>
      <c r="E69" s="707">
        <v>0</v>
      </c>
      <c r="F69" s="701">
        <v>3202.79</v>
      </c>
      <c r="G69" s="701">
        <v>1360</v>
      </c>
      <c r="H69" s="701">
        <v>1460</v>
      </c>
      <c r="I69" s="701">
        <v>432.18900000000002</v>
      </c>
      <c r="J69" s="701">
        <v>210</v>
      </c>
      <c r="K69" s="701">
        <v>350</v>
      </c>
      <c r="L69" s="701">
        <v>0</v>
      </c>
      <c r="M69" s="701">
        <v>0</v>
      </c>
      <c r="N69" s="701">
        <v>0</v>
      </c>
      <c r="O69" s="702">
        <f>SUM(F69:H69)*C69/100+SUM(I69:K69)*D69/100+SUM(L69:N69)*E69/100</f>
        <v>0</v>
      </c>
      <c r="P69" s="705"/>
      <c r="Q69" s="973"/>
      <c r="R69" s="918"/>
      <c r="S69" s="881"/>
    </row>
    <row r="70" spans="1:19" ht="18" hidden="1">
      <c r="A70" s="859">
        <v>21</v>
      </c>
      <c r="B70" s="1166" t="s">
        <v>93</v>
      </c>
      <c r="C70" s="1137"/>
      <c r="D70" s="719"/>
      <c r="E70" s="719"/>
      <c r="F70" s="720"/>
      <c r="G70" s="720"/>
      <c r="H70" s="704"/>
      <c r="I70" s="704"/>
      <c r="J70" s="704"/>
      <c r="K70" s="704"/>
      <c r="L70" s="704"/>
      <c r="M70" s="704"/>
      <c r="N70" s="704"/>
      <c r="O70" s="698">
        <f>O71</f>
        <v>0</v>
      </c>
      <c r="P70" s="700">
        <v>0</v>
      </c>
      <c r="Q70" s="991">
        <v>0</v>
      </c>
      <c r="R70" s="918">
        <f>O70-P70-Q70</f>
        <v>0</v>
      </c>
      <c r="S70" s="976">
        <f>R70</f>
        <v>0</v>
      </c>
    </row>
    <row r="71" spans="1:19" ht="28.2" hidden="1">
      <c r="B71" s="1167" t="s">
        <v>86</v>
      </c>
      <c r="C71" s="1133">
        <v>0</v>
      </c>
      <c r="D71" s="707">
        <v>0</v>
      </c>
      <c r="E71" s="707">
        <v>0</v>
      </c>
      <c r="F71" s="701">
        <v>13645.062</v>
      </c>
      <c r="G71" s="701">
        <v>15242.8</v>
      </c>
      <c r="H71" s="701">
        <v>9677.7999999999993</v>
      </c>
      <c r="I71" s="701">
        <v>216.84</v>
      </c>
      <c r="J71" s="701">
        <v>225.6</v>
      </c>
      <c r="K71" s="701">
        <v>203.6</v>
      </c>
      <c r="L71" s="701">
        <v>1713.35</v>
      </c>
      <c r="M71" s="701">
        <v>1888.1</v>
      </c>
      <c r="N71" s="701">
        <v>2067.9</v>
      </c>
      <c r="O71" s="702">
        <f>SUM(F71:H71)*C71/100+SUM(I71:K71)*D71/100+SUM(L71:N71)*E71/100</f>
        <v>0</v>
      </c>
      <c r="P71" s="703"/>
      <c r="Q71" s="993"/>
      <c r="R71" s="918"/>
      <c r="S71" s="881"/>
    </row>
    <row r="72" spans="1:19" ht="18" hidden="1">
      <c r="A72" s="859">
        <v>22</v>
      </c>
      <c r="B72" s="1166" t="s">
        <v>94</v>
      </c>
      <c r="C72" s="1137"/>
      <c r="D72" s="719"/>
      <c r="E72" s="719"/>
      <c r="F72" s="720"/>
      <c r="G72" s="720"/>
      <c r="H72" s="704"/>
      <c r="I72" s="704"/>
      <c r="J72" s="704"/>
      <c r="K72" s="704"/>
      <c r="L72" s="704"/>
      <c r="M72" s="704"/>
      <c r="N72" s="704"/>
      <c r="O72" s="698">
        <f>O73</f>
        <v>0</v>
      </c>
      <c r="P72" s="700">
        <v>0</v>
      </c>
      <c r="Q72" s="991">
        <v>0</v>
      </c>
      <c r="R72" s="918">
        <f>O72-P72-Q72</f>
        <v>0</v>
      </c>
      <c r="S72" s="976">
        <f>R72</f>
        <v>0</v>
      </c>
    </row>
    <row r="73" spans="1:19" ht="28.2" hidden="1">
      <c r="B73" s="1167" t="s">
        <v>86</v>
      </c>
      <c r="C73" s="1133">
        <v>0</v>
      </c>
      <c r="D73" s="707">
        <v>0</v>
      </c>
      <c r="E73" s="707">
        <v>0</v>
      </c>
      <c r="F73" s="701">
        <v>13645.062</v>
      </c>
      <c r="G73" s="701">
        <v>15242.8</v>
      </c>
      <c r="H73" s="701">
        <v>9677.7999999999993</v>
      </c>
      <c r="I73" s="701">
        <v>216.84</v>
      </c>
      <c r="J73" s="701">
        <v>225.6</v>
      </c>
      <c r="K73" s="701">
        <v>203.6</v>
      </c>
      <c r="L73" s="701">
        <v>1713.35</v>
      </c>
      <c r="M73" s="701">
        <v>1888.1</v>
      </c>
      <c r="N73" s="701">
        <v>2067.9</v>
      </c>
      <c r="O73" s="702">
        <f>SUM(F73:H73)*C73/100+SUM(I73:K73)*D73/100+SUM(L73:N73)*E73/100</f>
        <v>0</v>
      </c>
      <c r="P73" s="703"/>
      <c r="Q73" s="993"/>
      <c r="R73" s="918"/>
      <c r="S73" s="881"/>
    </row>
    <row r="74" spans="1:19" ht="18" hidden="1">
      <c r="A74" s="859">
        <v>23</v>
      </c>
      <c r="B74" s="1166" t="s">
        <v>95</v>
      </c>
      <c r="C74" s="1137"/>
      <c r="D74" s="719"/>
      <c r="E74" s="719"/>
      <c r="F74" s="720"/>
      <c r="G74" s="720"/>
      <c r="H74" s="704"/>
      <c r="I74" s="704"/>
      <c r="J74" s="704"/>
      <c r="K74" s="704"/>
      <c r="L74" s="704"/>
      <c r="M74" s="704"/>
      <c r="N74" s="704"/>
      <c r="O74" s="698">
        <f>O75</f>
        <v>0</v>
      </c>
      <c r="P74" s="700">
        <v>0</v>
      </c>
      <c r="Q74" s="991">
        <v>0</v>
      </c>
      <c r="R74" s="918">
        <f>O74-P74-Q74</f>
        <v>0</v>
      </c>
      <c r="S74" s="976">
        <f>R74</f>
        <v>0</v>
      </c>
    </row>
    <row r="75" spans="1:19" ht="18" hidden="1">
      <c r="B75" s="1167" t="s">
        <v>362</v>
      </c>
      <c r="C75" s="1133">
        <v>0</v>
      </c>
      <c r="D75" s="707">
        <v>0</v>
      </c>
      <c r="E75" s="707">
        <v>0</v>
      </c>
      <c r="F75" s="701">
        <v>6209.9530000000004</v>
      </c>
      <c r="G75" s="701">
        <v>6651.1580000000004</v>
      </c>
      <c r="H75" s="701">
        <v>4891.5</v>
      </c>
      <c r="I75" s="701">
        <v>72.31</v>
      </c>
      <c r="J75" s="701">
        <v>77.230999999999995</v>
      </c>
      <c r="K75" s="701">
        <v>80.3</v>
      </c>
      <c r="L75" s="701">
        <v>256.38299999999998</v>
      </c>
      <c r="M75" s="701">
        <v>27.896999999999998</v>
      </c>
      <c r="N75" s="701">
        <v>0</v>
      </c>
      <c r="O75" s="702">
        <f>SUM(F75:H75)*C75/100+SUM(I75:K75)*D75/100+SUM(L75:N75)*E75/100</f>
        <v>0</v>
      </c>
      <c r="P75" s="703"/>
      <c r="Q75" s="993"/>
      <c r="R75" s="918"/>
      <c r="S75" s="881"/>
    </row>
    <row r="76" spans="1:19" ht="18" hidden="1">
      <c r="B76" s="1169" t="s">
        <v>363</v>
      </c>
      <c r="C76" s="1132"/>
      <c r="D76" s="698"/>
      <c r="E76" s="698"/>
      <c r="F76" s="704"/>
      <c r="G76" s="704"/>
      <c r="H76" s="704"/>
      <c r="I76" s="704"/>
      <c r="J76" s="704"/>
      <c r="K76" s="704"/>
      <c r="L76" s="704"/>
      <c r="M76" s="704"/>
      <c r="N76" s="704"/>
      <c r="O76" s="721">
        <f>SUM(O77)</f>
        <v>0</v>
      </c>
      <c r="P76" s="700">
        <v>0</v>
      </c>
      <c r="Q76" s="991">
        <v>0</v>
      </c>
      <c r="R76" s="918">
        <f>O76-P76-Q76</f>
        <v>0</v>
      </c>
      <c r="S76" s="976">
        <f>R76</f>
        <v>0</v>
      </c>
    </row>
    <row r="77" spans="1:19" ht="28.2" hidden="1">
      <c r="B77" s="1167" t="s">
        <v>86</v>
      </c>
      <c r="C77" s="1133">
        <v>0</v>
      </c>
      <c r="D77" s="707">
        <v>0</v>
      </c>
      <c r="E77" s="707">
        <v>0</v>
      </c>
      <c r="F77" s="701">
        <v>13645.062</v>
      </c>
      <c r="G77" s="701">
        <v>15242.8</v>
      </c>
      <c r="H77" s="701">
        <v>9677.7999999999993</v>
      </c>
      <c r="I77" s="701">
        <v>216.84</v>
      </c>
      <c r="J77" s="701">
        <v>225.6</v>
      </c>
      <c r="K77" s="701">
        <v>203.6</v>
      </c>
      <c r="L77" s="701">
        <v>1713.35</v>
      </c>
      <c r="M77" s="701">
        <v>1888.1</v>
      </c>
      <c r="N77" s="701">
        <v>2067.9</v>
      </c>
      <c r="O77" s="702">
        <f>SUM(F77:H77)*C77/100+SUM(I77:K77)*D77/100+SUM(L77:N77)*E77/100</f>
        <v>0</v>
      </c>
      <c r="P77" s="703"/>
      <c r="Q77" s="993"/>
      <c r="R77" s="918"/>
      <c r="S77" s="881"/>
    </row>
    <row r="78" spans="1:19" ht="18.600000000000001" thickBot="1">
      <c r="B78" s="1170" t="s">
        <v>301</v>
      </c>
      <c r="C78" s="1138"/>
      <c r="D78" s="994"/>
      <c r="E78" s="994"/>
      <c r="F78" s="995"/>
      <c r="G78" s="995"/>
      <c r="H78" s="995"/>
      <c r="I78" s="995"/>
      <c r="J78" s="995"/>
      <c r="K78" s="995"/>
      <c r="L78" s="995"/>
      <c r="M78" s="995"/>
      <c r="N78" s="995"/>
      <c r="O78" s="996"/>
      <c r="P78" s="997"/>
      <c r="Q78" s="998"/>
      <c r="R78" s="963"/>
      <c r="S78" s="881"/>
    </row>
    <row r="79" spans="1:19" ht="18.600000000000001" thickBot="1">
      <c r="A79" s="859">
        <v>24</v>
      </c>
      <c r="B79" s="1171" t="s">
        <v>302</v>
      </c>
      <c r="C79" s="1139"/>
      <c r="D79" s="999"/>
      <c r="E79" s="999"/>
      <c r="F79" s="1000"/>
      <c r="G79" s="1000"/>
      <c r="H79" s="1000"/>
      <c r="I79" s="1000"/>
      <c r="J79" s="1000"/>
      <c r="K79" s="1000"/>
      <c r="L79" s="1000"/>
      <c r="M79" s="1000"/>
      <c r="N79" s="1000"/>
      <c r="O79" s="999">
        <f>SUM(O80+O81)</f>
        <v>9388</v>
      </c>
      <c r="P79" s="1001">
        <v>0</v>
      </c>
      <c r="Q79" s="1002">
        <v>6210.3</v>
      </c>
      <c r="R79" s="871">
        <f>O79-P79-Q79</f>
        <v>3177.7</v>
      </c>
      <c r="S79" s="872">
        <f>R79</f>
        <v>3177.7</v>
      </c>
    </row>
    <row r="80" spans="1:19" ht="18">
      <c r="B80" s="1184" t="s">
        <v>282</v>
      </c>
      <c r="C80" s="1140">
        <v>100</v>
      </c>
      <c r="D80" s="1003">
        <v>100</v>
      </c>
      <c r="E80" s="1003">
        <v>100</v>
      </c>
      <c r="F80" s="1004">
        <v>107</v>
      </c>
      <c r="G80" s="1004">
        <v>107</v>
      </c>
      <c r="H80" s="1005">
        <v>106</v>
      </c>
      <c r="I80" s="1004">
        <v>2790</v>
      </c>
      <c r="J80" s="1004">
        <v>2342</v>
      </c>
      <c r="K80" s="1005">
        <v>2051</v>
      </c>
      <c r="L80" s="1006">
        <v>0</v>
      </c>
      <c r="M80" s="1006">
        <v>0</v>
      </c>
      <c r="N80" s="1006">
        <v>0</v>
      </c>
      <c r="O80" s="1006">
        <f>SUM(F80:H80)*C80/100+SUM(I80:K80)*D80/100+SUM(L80:N80)*E80/100</f>
        <v>7503</v>
      </c>
      <c r="P80" s="1007"/>
      <c r="Q80" s="1008"/>
      <c r="R80" s="880"/>
      <c r="S80" s="881"/>
    </row>
    <row r="81" spans="1:19" ht="18">
      <c r="B81" s="1205" t="s">
        <v>283</v>
      </c>
      <c r="C81" s="1203">
        <v>0</v>
      </c>
      <c r="D81" s="1204">
        <v>15</v>
      </c>
      <c r="E81" s="1204">
        <v>100</v>
      </c>
      <c r="F81" s="1206">
        <v>870</v>
      </c>
      <c r="G81" s="1206">
        <v>2410</v>
      </c>
      <c r="H81" s="1204">
        <v>1000</v>
      </c>
      <c r="I81" s="1206">
        <v>2630</v>
      </c>
      <c r="J81" s="1206">
        <v>4170</v>
      </c>
      <c r="K81" s="1204">
        <v>3100</v>
      </c>
      <c r="L81" s="1207">
        <v>0</v>
      </c>
      <c r="M81" s="1207">
        <v>0</v>
      </c>
      <c r="N81" s="1207">
        <v>400</v>
      </c>
      <c r="O81" s="1208">
        <f>SUM(F81:H81)*C81/100+SUM(I81:K81)*D81/100+SUM(L81:N81)*E81/100</f>
        <v>1885</v>
      </c>
      <c r="P81" s="703"/>
      <c r="Q81" s="993"/>
      <c r="R81" s="884"/>
      <c r="S81" s="881"/>
    </row>
    <row r="82" spans="1:19" ht="18.600000000000001" thickBot="1">
      <c r="B82" s="1172" t="s">
        <v>303</v>
      </c>
      <c r="C82" s="1141"/>
      <c r="D82" s="1009"/>
      <c r="E82" s="1009"/>
      <c r="F82" s="1010"/>
      <c r="G82" s="1010"/>
      <c r="H82" s="1010"/>
      <c r="I82" s="1010"/>
      <c r="J82" s="1010"/>
      <c r="K82" s="1010"/>
      <c r="L82" s="1010"/>
      <c r="M82" s="1010"/>
      <c r="N82" s="1010"/>
      <c r="O82" s="1009"/>
      <c r="P82" s="1011"/>
      <c r="Q82" s="1012"/>
      <c r="R82" s="884"/>
      <c r="S82" s="881"/>
    </row>
    <row r="83" spans="1:19" ht="18.600000000000001" thickBot="1">
      <c r="A83" s="859">
        <v>25</v>
      </c>
      <c r="B83" s="1173" t="s">
        <v>261</v>
      </c>
      <c r="C83" s="1142"/>
      <c r="D83" s="1013"/>
      <c r="E83" s="1013"/>
      <c r="F83" s="1014"/>
      <c r="G83" s="1014"/>
      <c r="H83" s="1014"/>
      <c r="I83" s="1014"/>
      <c r="J83" s="1014"/>
      <c r="K83" s="1014"/>
      <c r="L83" s="1014"/>
      <c r="M83" s="1014"/>
      <c r="N83" s="1014"/>
      <c r="O83" s="1013">
        <f>O84+O85</f>
        <v>1274.0999999999999</v>
      </c>
      <c r="P83" s="1015">
        <v>0</v>
      </c>
      <c r="Q83" s="1016">
        <v>0</v>
      </c>
      <c r="R83" s="871">
        <f>O83-P83-Q83</f>
        <v>1274.0999999999999</v>
      </c>
      <c r="S83" s="872">
        <f>R83</f>
        <v>1274.0999999999999</v>
      </c>
    </row>
    <row r="84" spans="1:19" ht="18">
      <c r="B84" s="1185" t="s">
        <v>357</v>
      </c>
      <c r="C84" s="1143">
        <v>100</v>
      </c>
      <c r="D84" s="1017">
        <v>50</v>
      </c>
      <c r="E84" s="1017">
        <v>100</v>
      </c>
      <c r="F84" s="1018">
        <v>0</v>
      </c>
      <c r="G84" s="1018">
        <v>133.1</v>
      </c>
      <c r="H84" s="1019">
        <v>56.3</v>
      </c>
      <c r="I84" s="1018">
        <v>0</v>
      </c>
      <c r="J84" s="1018">
        <v>1584.2</v>
      </c>
      <c r="K84" s="1019">
        <v>585.20000000000005</v>
      </c>
      <c r="L84" s="1018">
        <v>0</v>
      </c>
      <c r="M84" s="1018">
        <v>0</v>
      </c>
      <c r="N84" s="1018">
        <v>0</v>
      </c>
      <c r="O84" s="1018">
        <f>SUM(F84:H84)*C84/100+SUM(I84:K84)*D84/100+SUM(L84:N84)*E84/100</f>
        <v>1274.0999999999999</v>
      </c>
      <c r="P84" s="1020"/>
      <c r="Q84" s="1021"/>
      <c r="R84" s="880"/>
      <c r="S84" s="941"/>
    </row>
    <row r="85" spans="1:19" ht="18.600000000000001" thickBot="1">
      <c r="B85" s="1185" t="s">
        <v>285</v>
      </c>
      <c r="C85" s="1144">
        <v>100</v>
      </c>
      <c r="D85" s="1022">
        <v>70</v>
      </c>
      <c r="E85" s="1022">
        <v>100</v>
      </c>
      <c r="F85" s="1023">
        <v>0</v>
      </c>
      <c r="G85" s="1023">
        <v>0</v>
      </c>
      <c r="H85" s="1024">
        <v>0</v>
      </c>
      <c r="I85" s="1023">
        <v>0</v>
      </c>
      <c r="J85" s="1023">
        <v>0</v>
      </c>
      <c r="K85" s="1024">
        <v>0</v>
      </c>
      <c r="L85" s="1023">
        <v>0</v>
      </c>
      <c r="M85" s="1023">
        <v>0</v>
      </c>
      <c r="N85" s="1023">
        <v>0</v>
      </c>
      <c r="O85" s="1018">
        <f>SUM(F85:H85)*C85/100+SUM(I85:K85)*D85/100+SUM(L85:N85)*E85/100</f>
        <v>0</v>
      </c>
      <c r="P85" s="1025"/>
      <c r="Q85" s="1026"/>
      <c r="R85" s="884"/>
      <c r="S85" s="881"/>
    </row>
    <row r="86" spans="1:19" ht="18.600000000000001" thickBot="1">
      <c r="A86" s="859">
        <v>26</v>
      </c>
      <c r="B86" s="1173" t="s">
        <v>364</v>
      </c>
      <c r="C86" s="1142"/>
      <c r="D86" s="1013"/>
      <c r="E86" s="1013"/>
      <c r="F86" s="1027"/>
      <c r="G86" s="1027"/>
      <c r="H86" s="1027"/>
      <c r="I86" s="1027"/>
      <c r="J86" s="1027"/>
      <c r="K86" s="1027"/>
      <c r="L86" s="1027"/>
      <c r="M86" s="1027"/>
      <c r="N86" s="1027"/>
      <c r="O86" s="1013">
        <f>O87</f>
        <v>1084.7</v>
      </c>
      <c r="P86" s="1028">
        <v>0</v>
      </c>
      <c r="Q86" s="1029">
        <v>1022</v>
      </c>
      <c r="R86" s="871">
        <f>O86-P86-Q86</f>
        <v>62.700000000000045</v>
      </c>
      <c r="S86" s="872">
        <f>R86</f>
        <v>62.700000000000045</v>
      </c>
    </row>
    <row r="87" spans="1:19" ht="18">
      <c r="B87" s="1185" t="s">
        <v>357</v>
      </c>
      <c r="C87" s="1143">
        <v>0</v>
      </c>
      <c r="D87" s="1017">
        <v>50</v>
      </c>
      <c r="E87" s="1017">
        <v>0</v>
      </c>
      <c r="F87" s="1018">
        <v>0</v>
      </c>
      <c r="G87" s="1018">
        <v>133.1</v>
      </c>
      <c r="H87" s="1019">
        <v>56.3</v>
      </c>
      <c r="I87" s="1018">
        <v>0</v>
      </c>
      <c r="J87" s="1018">
        <v>1584.2</v>
      </c>
      <c r="K87" s="1019">
        <v>585.20000000000005</v>
      </c>
      <c r="L87" s="1018">
        <v>0</v>
      </c>
      <c r="M87" s="1018">
        <v>0</v>
      </c>
      <c r="N87" s="1018">
        <v>0</v>
      </c>
      <c r="O87" s="1018">
        <f>SUM(F87:H87)*C87/100+SUM(I87:K87)*D87/100+SUM(L87:N87)*E87/100</f>
        <v>1084.7</v>
      </c>
      <c r="P87" s="1020"/>
      <c r="Q87" s="1021"/>
      <c r="R87" s="880"/>
      <c r="S87" s="881"/>
    </row>
    <row r="88" spans="1:19" ht="18.600000000000001" thickBot="1">
      <c r="B88" s="1185" t="s">
        <v>285</v>
      </c>
      <c r="C88" s="1144">
        <v>0</v>
      </c>
      <c r="D88" s="1022">
        <v>30</v>
      </c>
      <c r="E88" s="1022">
        <v>0</v>
      </c>
      <c r="F88" s="1023">
        <v>0</v>
      </c>
      <c r="G88" s="1023">
        <v>0</v>
      </c>
      <c r="H88" s="1024">
        <v>0</v>
      </c>
      <c r="I88" s="1023">
        <v>0</v>
      </c>
      <c r="J88" s="1023">
        <v>0</v>
      </c>
      <c r="K88" s="1024">
        <v>0</v>
      </c>
      <c r="L88" s="1023">
        <v>0</v>
      </c>
      <c r="M88" s="1023">
        <v>0</v>
      </c>
      <c r="N88" s="1023">
        <v>0</v>
      </c>
      <c r="O88" s="1023">
        <f>SUM(F88:G88)*C88/100+SUM(I88:J88)*D88/100+SUM(L88:N88)*E88/100</f>
        <v>0</v>
      </c>
      <c r="P88" s="1025"/>
      <c r="Q88" s="1026"/>
      <c r="R88" s="1030"/>
      <c r="S88" s="881"/>
    </row>
    <row r="89" spans="1:19" ht="18.600000000000001" thickBot="1">
      <c r="A89" s="859">
        <v>27</v>
      </c>
      <c r="B89" s="1173" t="s">
        <v>263</v>
      </c>
      <c r="C89" s="1142"/>
      <c r="D89" s="1013"/>
      <c r="E89" s="1013"/>
      <c r="F89" s="1027"/>
      <c r="G89" s="1027"/>
      <c r="H89" s="1027"/>
      <c r="I89" s="1027"/>
      <c r="J89" s="1027"/>
      <c r="K89" s="1027"/>
      <c r="L89" s="1027"/>
      <c r="M89" s="1027"/>
      <c r="N89" s="1027"/>
      <c r="O89" s="1013">
        <f>O90+O91</f>
        <v>10038.9</v>
      </c>
      <c r="P89" s="1031">
        <v>0</v>
      </c>
      <c r="Q89" s="1032">
        <v>9439.6</v>
      </c>
      <c r="R89" s="1033">
        <f>O89-P89-Q89</f>
        <v>599.29999999999927</v>
      </c>
      <c r="S89" s="872">
        <f>R89</f>
        <v>599.29999999999927</v>
      </c>
    </row>
    <row r="90" spans="1:19" ht="18">
      <c r="B90" s="1185" t="s">
        <v>325</v>
      </c>
      <c r="C90" s="1143">
        <v>100</v>
      </c>
      <c r="D90" s="1017">
        <v>100</v>
      </c>
      <c r="E90" s="1017">
        <v>100</v>
      </c>
      <c r="F90" s="1018">
        <v>0</v>
      </c>
      <c r="G90" s="1018">
        <v>0</v>
      </c>
      <c r="H90" s="1019">
        <v>0</v>
      </c>
      <c r="I90" s="1018">
        <v>1957.9</v>
      </c>
      <c r="J90" s="1018">
        <v>6416.5</v>
      </c>
      <c r="K90" s="1019">
        <v>1155.5</v>
      </c>
      <c r="L90" s="1018">
        <v>0</v>
      </c>
      <c r="M90" s="1018">
        <v>0</v>
      </c>
      <c r="N90" s="1018">
        <v>0</v>
      </c>
      <c r="O90" s="1019">
        <f>SUM(F90:H90)*C90/100+SUM(I90:K90)*D90/100+SUM(L90:N90)*E90/100</f>
        <v>9529.9</v>
      </c>
      <c r="P90" s="1034"/>
      <c r="Q90" s="1035"/>
      <c r="R90" s="1036"/>
      <c r="S90" s="881"/>
    </row>
    <row r="91" spans="1:19" ht="18">
      <c r="B91" s="1185" t="s">
        <v>287</v>
      </c>
      <c r="C91" s="1145">
        <v>100</v>
      </c>
      <c r="D91" s="734">
        <v>100</v>
      </c>
      <c r="E91" s="734">
        <v>100</v>
      </c>
      <c r="F91" s="1037">
        <v>0</v>
      </c>
      <c r="G91" s="1037">
        <v>0</v>
      </c>
      <c r="H91" s="1038">
        <v>0</v>
      </c>
      <c r="I91" s="1037">
        <v>185.8</v>
      </c>
      <c r="J91" s="1037">
        <v>168.3</v>
      </c>
      <c r="K91" s="1038">
        <v>154.9</v>
      </c>
      <c r="L91" s="1037">
        <v>0</v>
      </c>
      <c r="M91" s="1037">
        <v>0</v>
      </c>
      <c r="N91" s="1037">
        <v>0</v>
      </c>
      <c r="O91" s="1019">
        <f>SUM(F91:H91)*C91/100+SUM(I91:K91)*D91/100+SUM(L91:N91)*E91/100</f>
        <v>509</v>
      </c>
      <c r="P91" s="744"/>
      <c r="Q91" s="1039"/>
      <c r="R91" s="1040"/>
      <c r="S91" s="881"/>
    </row>
    <row r="92" spans="1:19" ht="18.600000000000001" thickBot="1">
      <c r="B92" s="1174" t="s">
        <v>304</v>
      </c>
      <c r="C92" s="1146"/>
      <c r="D92" s="1041"/>
      <c r="E92" s="1041"/>
      <c r="F92" s="1042"/>
      <c r="G92" s="1042"/>
      <c r="H92" s="1042"/>
      <c r="I92" s="1042"/>
      <c r="J92" s="1042"/>
      <c r="K92" s="1042"/>
      <c r="L92" s="1042"/>
      <c r="M92" s="1042"/>
      <c r="N92" s="1042"/>
      <c r="O92" s="1041">
        <f>O93</f>
        <v>5807.4005000000006</v>
      </c>
      <c r="P92" s="1043"/>
      <c r="Q92" s="1044"/>
      <c r="R92" s="1045"/>
      <c r="S92" s="1046"/>
    </row>
    <row r="93" spans="1:19" ht="18.600000000000001" thickBot="1">
      <c r="A93" s="859">
        <v>28</v>
      </c>
      <c r="B93" s="1175" t="s">
        <v>264</v>
      </c>
      <c r="C93" s="1147"/>
      <c r="D93" s="1047"/>
      <c r="E93" s="1047"/>
      <c r="F93" s="1048"/>
      <c r="G93" s="1048"/>
      <c r="H93" s="1048"/>
      <c r="I93" s="1048"/>
      <c r="J93" s="1048"/>
      <c r="K93" s="1048"/>
      <c r="L93" s="1048"/>
      <c r="M93" s="1048"/>
      <c r="N93" s="1048"/>
      <c r="O93" s="1049">
        <f>O94</f>
        <v>5807.4005000000006</v>
      </c>
      <c r="P93" s="1050">
        <v>0</v>
      </c>
      <c r="Q93" s="1051">
        <v>0</v>
      </c>
      <c r="R93" s="1033">
        <f>O93-P93-Q93</f>
        <v>5807.4005000000006</v>
      </c>
      <c r="S93" s="872">
        <f>R93</f>
        <v>5807.4005000000006</v>
      </c>
    </row>
    <row r="94" spans="1:19" ht="18">
      <c r="B94" s="1183" t="s">
        <v>326</v>
      </c>
      <c r="C94" s="1148">
        <v>100</v>
      </c>
      <c r="D94" s="1052">
        <v>100</v>
      </c>
      <c r="E94" s="1052">
        <v>100</v>
      </c>
      <c r="F94" s="1053">
        <v>1488.1836000000001</v>
      </c>
      <c r="G94" s="1053">
        <v>1253.5999999999999</v>
      </c>
      <c r="H94" s="1054">
        <v>2327.9</v>
      </c>
      <c r="I94" s="1053">
        <v>47.101100000000002</v>
      </c>
      <c r="J94" s="1053">
        <v>22.1</v>
      </c>
      <c r="K94" s="1054">
        <v>124.7</v>
      </c>
      <c r="L94" s="1053">
        <v>153.91579999999999</v>
      </c>
      <c r="M94" s="1053">
        <v>242.7</v>
      </c>
      <c r="N94" s="1054">
        <v>147.19999999999999</v>
      </c>
      <c r="O94" s="1055">
        <f>SUM(F94:H94)*C94/100+SUM(I94:K94)*D94/100+SUM(L94:N94)*E94/100</f>
        <v>5807.4005000000006</v>
      </c>
      <c r="P94" s="1056"/>
      <c r="Q94" s="1057"/>
      <c r="R94" s="1058"/>
      <c r="S94" s="881"/>
    </row>
    <row r="95" spans="1:19" ht="18.600000000000001" thickBot="1">
      <c r="B95" s="1176" t="s">
        <v>305</v>
      </c>
      <c r="C95" s="1149"/>
      <c r="D95" s="1059"/>
      <c r="E95" s="1059"/>
      <c r="F95" s="1060"/>
      <c r="G95" s="1060"/>
      <c r="H95" s="1060"/>
      <c r="I95" s="1060"/>
      <c r="J95" s="1060"/>
      <c r="K95" s="1060"/>
      <c r="L95" s="1060"/>
      <c r="M95" s="1060"/>
      <c r="N95" s="1060"/>
      <c r="O95" s="1061">
        <f>O96</f>
        <v>12695</v>
      </c>
      <c r="P95" s="1062"/>
      <c r="Q95" s="1063"/>
      <c r="R95" s="1064"/>
      <c r="S95" s="1065"/>
    </row>
    <row r="96" spans="1:19" ht="18.600000000000001" thickBot="1">
      <c r="A96" s="859">
        <v>29</v>
      </c>
      <c r="B96" s="1177" t="s">
        <v>365</v>
      </c>
      <c r="C96" s="1150"/>
      <c r="D96" s="1066"/>
      <c r="E96" s="1066"/>
      <c r="F96" s="1067"/>
      <c r="G96" s="1067"/>
      <c r="H96" s="1067"/>
      <c r="I96" s="1067"/>
      <c r="J96" s="1067"/>
      <c r="K96" s="1067"/>
      <c r="L96" s="1067"/>
      <c r="M96" s="1067"/>
      <c r="N96" s="1067"/>
      <c r="O96" s="1068">
        <f>O97</f>
        <v>12695</v>
      </c>
      <c r="P96" s="1069">
        <v>0</v>
      </c>
      <c r="Q96" s="1070">
        <v>0</v>
      </c>
      <c r="R96" s="1033">
        <f>O96-P96-Q96</f>
        <v>12695</v>
      </c>
      <c r="S96" s="872">
        <f>R96</f>
        <v>12695</v>
      </c>
    </row>
    <row r="97" spans="1:19" ht="25.5" customHeight="1">
      <c r="B97" s="1211" t="s">
        <v>283</v>
      </c>
      <c r="C97" s="1209">
        <v>100</v>
      </c>
      <c r="D97" s="1210">
        <v>85</v>
      </c>
      <c r="E97" s="1210">
        <v>0</v>
      </c>
      <c r="F97" s="1212">
        <v>870</v>
      </c>
      <c r="G97" s="1212">
        <v>2410</v>
      </c>
      <c r="H97" s="1212">
        <v>1000</v>
      </c>
      <c r="I97" s="1212">
        <v>2630</v>
      </c>
      <c r="J97" s="1212">
        <v>4170</v>
      </c>
      <c r="K97" s="1212">
        <v>3100</v>
      </c>
      <c r="L97" s="1212">
        <v>0</v>
      </c>
      <c r="M97" s="1212">
        <v>0</v>
      </c>
      <c r="N97" s="1212">
        <v>400</v>
      </c>
      <c r="O97" s="1210">
        <f>SUM(F97:H97)*C97/100+SUM(I97:K97)*D97/100+SUM(L97:N97)*E97/100</f>
        <v>12695</v>
      </c>
      <c r="P97" s="1071"/>
      <c r="Q97" s="1072"/>
      <c r="R97" s="1073"/>
      <c r="S97" s="881"/>
    </row>
    <row r="98" spans="1:19" ht="25.5" customHeight="1" thickBot="1">
      <c r="A98" s="860"/>
      <c r="B98" s="774" t="s">
        <v>306</v>
      </c>
      <c r="C98" s="1151"/>
      <c r="D98" s="775"/>
      <c r="E98" s="775"/>
      <c r="F98" s="776"/>
      <c r="G98" s="776"/>
      <c r="H98" s="776"/>
      <c r="I98" s="776"/>
      <c r="J98" s="776"/>
      <c r="K98" s="776"/>
      <c r="L98" s="776"/>
      <c r="M98" s="776"/>
      <c r="N98" s="776"/>
      <c r="O98" s="777"/>
      <c r="P98" s="777"/>
      <c r="Q98" s="1074"/>
      <c r="R98" s="1075"/>
    </row>
    <row r="99" spans="1:19" ht="25.5" hidden="1" customHeight="1">
      <c r="A99" s="860"/>
      <c r="B99" s="778" t="s">
        <v>336</v>
      </c>
      <c r="C99" s="1152"/>
      <c r="D99" s="779"/>
      <c r="E99" s="779"/>
      <c r="F99" s="780"/>
      <c r="G99" s="780"/>
      <c r="H99" s="780"/>
      <c r="I99" s="780"/>
      <c r="J99" s="780"/>
      <c r="K99" s="780"/>
      <c r="L99" s="780"/>
      <c r="M99" s="780"/>
      <c r="N99" s="780"/>
      <c r="O99" s="781">
        <f>O100+O101</f>
        <v>0</v>
      </c>
      <c r="P99" s="782">
        <v>0</v>
      </c>
      <c r="Q99" s="1076">
        <v>0</v>
      </c>
      <c r="R99" s="1077">
        <f>O99-P99-Q99</f>
        <v>0</v>
      </c>
    </row>
    <row r="100" spans="1:19" ht="25.5" hidden="1" customHeight="1">
      <c r="A100" s="860"/>
      <c r="B100" s="783" t="s">
        <v>348</v>
      </c>
      <c r="C100" s="1153">
        <v>0</v>
      </c>
      <c r="D100" s="784">
        <v>0</v>
      </c>
      <c r="E100" s="784">
        <v>0</v>
      </c>
      <c r="F100" s="785">
        <v>1217.0999999999999</v>
      </c>
      <c r="G100" s="785">
        <v>1979.2322999999999</v>
      </c>
      <c r="H100" s="786">
        <v>5816.6</v>
      </c>
      <c r="I100" s="785">
        <v>104141.8</v>
      </c>
      <c r="J100" s="785">
        <v>84014.182400000005</v>
      </c>
      <c r="K100" s="786">
        <v>112355.49</v>
      </c>
      <c r="L100" s="787">
        <v>0</v>
      </c>
      <c r="M100" s="787">
        <v>0</v>
      </c>
      <c r="N100" s="786">
        <v>0</v>
      </c>
      <c r="O100" s="788">
        <f>SUM(F100:H100)*C100/100+SUM(I100:K100)*D100/100+SUM(L100:N100)*E100/100</f>
        <v>0</v>
      </c>
      <c r="P100" s="789"/>
      <c r="Q100" s="1078"/>
      <c r="R100" s="1079"/>
    </row>
    <row r="101" spans="1:19" ht="25.5" hidden="1" customHeight="1">
      <c r="A101" s="860"/>
      <c r="B101" s="783" t="s">
        <v>72</v>
      </c>
      <c r="C101" s="1153">
        <v>0</v>
      </c>
      <c r="D101" s="784">
        <v>0</v>
      </c>
      <c r="E101" s="784">
        <v>0</v>
      </c>
      <c r="F101" s="787">
        <v>1497.8</v>
      </c>
      <c r="G101" s="787">
        <v>3744.2750000000001</v>
      </c>
      <c r="H101" s="786">
        <v>2995.3</v>
      </c>
      <c r="I101" s="787">
        <v>14</v>
      </c>
      <c r="J101" s="787">
        <v>35.393999999999998</v>
      </c>
      <c r="K101" s="786">
        <v>30.146000000000001</v>
      </c>
      <c r="L101" s="787">
        <v>0</v>
      </c>
      <c r="M101" s="787">
        <v>0</v>
      </c>
      <c r="N101" s="786">
        <v>0</v>
      </c>
      <c r="O101" s="788">
        <f>SUM(F101:H101)*C101/100+SUM(I101:K101)*D101/100+SUM(L101:N101)*E101/100</f>
        <v>0</v>
      </c>
      <c r="P101" s="789"/>
      <c r="Q101" s="1078"/>
      <c r="R101" s="1079"/>
    </row>
    <row r="102" spans="1:19" ht="25.5" hidden="1" customHeight="1">
      <c r="A102" s="860"/>
      <c r="B102" s="778" t="s">
        <v>337</v>
      </c>
      <c r="C102" s="1152"/>
      <c r="D102" s="779"/>
      <c r="E102" s="779"/>
      <c r="F102" s="780"/>
      <c r="G102" s="780"/>
      <c r="H102" s="780"/>
      <c r="I102" s="780"/>
      <c r="J102" s="780"/>
      <c r="K102" s="780"/>
      <c r="L102" s="780"/>
      <c r="M102" s="780"/>
      <c r="N102" s="780"/>
      <c r="O102" s="781">
        <f>O103+O104</f>
        <v>0</v>
      </c>
      <c r="P102" s="782">
        <v>0</v>
      </c>
      <c r="Q102" s="1076">
        <v>0</v>
      </c>
      <c r="R102" s="1077">
        <f>O102-P102-Q102</f>
        <v>0</v>
      </c>
    </row>
    <row r="103" spans="1:19" ht="25.5" hidden="1" customHeight="1">
      <c r="A103" s="860"/>
      <c r="B103" s="783" t="s">
        <v>348</v>
      </c>
      <c r="C103" s="1153">
        <v>0</v>
      </c>
      <c r="D103" s="784">
        <v>0</v>
      </c>
      <c r="E103" s="784">
        <v>0</v>
      </c>
      <c r="F103" s="785">
        <v>1217.0999999999999</v>
      </c>
      <c r="G103" s="785">
        <v>1979.2322999999999</v>
      </c>
      <c r="H103" s="786">
        <v>5816.6</v>
      </c>
      <c r="I103" s="785">
        <v>104141.8</v>
      </c>
      <c r="J103" s="785">
        <v>84014.182400000005</v>
      </c>
      <c r="K103" s="786">
        <v>112355.49</v>
      </c>
      <c r="L103" s="787">
        <v>0</v>
      </c>
      <c r="M103" s="787">
        <v>0</v>
      </c>
      <c r="N103" s="786">
        <v>0</v>
      </c>
      <c r="O103" s="788">
        <f>SUM(F103:H103)*C103/100+SUM(I103:K103)*D103/100+SUM(L103:N103)*E103/100</f>
        <v>0</v>
      </c>
      <c r="P103" s="789"/>
      <c r="Q103" s="1078"/>
      <c r="R103" s="1080"/>
    </row>
    <row r="104" spans="1:19" ht="25.5" hidden="1" customHeight="1">
      <c r="A104" s="860"/>
      <c r="B104" s="783" t="s">
        <v>72</v>
      </c>
      <c r="C104" s="1153">
        <v>0</v>
      </c>
      <c r="D104" s="784">
        <v>0</v>
      </c>
      <c r="E104" s="784">
        <v>0</v>
      </c>
      <c r="F104" s="787">
        <v>1497.8</v>
      </c>
      <c r="G104" s="787">
        <v>3744.2750000000001</v>
      </c>
      <c r="H104" s="786">
        <v>2995.3</v>
      </c>
      <c r="I104" s="787">
        <v>14</v>
      </c>
      <c r="J104" s="787">
        <v>35.393999999999998</v>
      </c>
      <c r="K104" s="786">
        <v>30.146000000000001</v>
      </c>
      <c r="L104" s="787">
        <v>0</v>
      </c>
      <c r="M104" s="787">
        <v>0</v>
      </c>
      <c r="N104" s="786">
        <v>0</v>
      </c>
      <c r="O104" s="788">
        <f>SUM(F104:H104)*C104/100+SUM(I104:K104)*D104/100+SUM(L104:N104)*E104/100</f>
        <v>0</v>
      </c>
      <c r="P104" s="789"/>
      <c r="Q104" s="1078"/>
      <c r="R104" s="1080"/>
    </row>
    <row r="105" spans="1:19" ht="25.5" hidden="1" customHeight="1">
      <c r="A105" s="860"/>
      <c r="B105" s="778" t="s">
        <v>338</v>
      </c>
      <c r="C105" s="1152"/>
      <c r="D105" s="779"/>
      <c r="E105" s="779"/>
      <c r="F105" s="780"/>
      <c r="G105" s="780"/>
      <c r="H105" s="780"/>
      <c r="I105" s="780"/>
      <c r="J105" s="780"/>
      <c r="K105" s="780"/>
      <c r="L105" s="780"/>
      <c r="M105" s="780"/>
      <c r="N105" s="780"/>
      <c r="O105" s="781">
        <f>O106+O107</f>
        <v>0</v>
      </c>
      <c r="P105" s="782">
        <v>0</v>
      </c>
      <c r="Q105" s="1076">
        <v>0</v>
      </c>
      <c r="R105" s="1077">
        <f>O105-P105-Q105</f>
        <v>0</v>
      </c>
    </row>
    <row r="106" spans="1:19" ht="25.5" hidden="1" customHeight="1">
      <c r="A106" s="860"/>
      <c r="B106" s="783" t="s">
        <v>348</v>
      </c>
      <c r="C106" s="1153">
        <v>0</v>
      </c>
      <c r="D106" s="784">
        <v>0</v>
      </c>
      <c r="E106" s="784">
        <v>0</v>
      </c>
      <c r="F106" s="785">
        <v>1217.0999999999999</v>
      </c>
      <c r="G106" s="785">
        <v>1979.2322999999999</v>
      </c>
      <c r="H106" s="786">
        <v>5816.5684000000001</v>
      </c>
      <c r="I106" s="785">
        <v>104141.8</v>
      </c>
      <c r="J106" s="785">
        <v>84014.182400000005</v>
      </c>
      <c r="K106" s="786">
        <v>112355.49</v>
      </c>
      <c r="L106" s="787">
        <v>0</v>
      </c>
      <c r="M106" s="787">
        <v>0</v>
      </c>
      <c r="N106" s="786">
        <v>0</v>
      </c>
      <c r="O106" s="788">
        <f>SUM(F106:H106)*C106/100+SUM(I106:K106)*D106/100+SUM(L106:N106)*E106/100</f>
        <v>0</v>
      </c>
      <c r="P106" s="789"/>
      <c r="Q106" s="1078"/>
      <c r="R106" s="1080"/>
    </row>
    <row r="107" spans="1:19" ht="25.5" hidden="1" customHeight="1">
      <c r="A107" s="860"/>
      <c r="B107" s="783" t="s">
        <v>72</v>
      </c>
      <c r="C107" s="1153">
        <v>0</v>
      </c>
      <c r="D107" s="784">
        <v>0</v>
      </c>
      <c r="E107" s="784">
        <v>0</v>
      </c>
      <c r="F107" s="787">
        <v>1497.8</v>
      </c>
      <c r="G107" s="787">
        <v>3744.2750000000001</v>
      </c>
      <c r="H107" s="786">
        <v>2995.3</v>
      </c>
      <c r="I107" s="787">
        <v>14</v>
      </c>
      <c r="J107" s="787">
        <v>35.393999999999998</v>
      </c>
      <c r="K107" s="786">
        <v>30.146000000000001</v>
      </c>
      <c r="L107" s="787">
        <v>0</v>
      </c>
      <c r="M107" s="787">
        <v>0</v>
      </c>
      <c r="N107" s="786">
        <v>0</v>
      </c>
      <c r="O107" s="788">
        <f>SUM(F107:H107)*C107/100+SUM(I107:K107)*D107/100+SUM(L107:N107)*E107/100</f>
        <v>0</v>
      </c>
      <c r="P107" s="789"/>
      <c r="Q107" s="1078"/>
      <c r="R107" s="1080"/>
    </row>
    <row r="108" spans="1:19" ht="25.5" hidden="1" customHeight="1">
      <c r="A108" s="860"/>
      <c r="B108" s="778" t="s">
        <v>339</v>
      </c>
      <c r="C108" s="1152"/>
      <c r="D108" s="779"/>
      <c r="E108" s="779"/>
      <c r="F108" s="780"/>
      <c r="G108" s="780"/>
      <c r="H108" s="780"/>
      <c r="I108" s="780"/>
      <c r="J108" s="780"/>
      <c r="K108" s="780"/>
      <c r="L108" s="780"/>
      <c r="M108" s="780"/>
      <c r="N108" s="780"/>
      <c r="O108" s="781">
        <f>O109+O110</f>
        <v>0</v>
      </c>
      <c r="P108" s="782">
        <v>0</v>
      </c>
      <c r="Q108" s="1076">
        <v>0</v>
      </c>
      <c r="R108" s="1077">
        <f>O108-P108-Q108</f>
        <v>0</v>
      </c>
    </row>
    <row r="109" spans="1:19" ht="25.5" hidden="1" customHeight="1">
      <c r="A109" s="860"/>
      <c r="B109" s="783" t="s">
        <v>348</v>
      </c>
      <c r="C109" s="1153">
        <v>0</v>
      </c>
      <c r="D109" s="784">
        <v>0</v>
      </c>
      <c r="E109" s="784">
        <v>0</v>
      </c>
      <c r="F109" s="785">
        <v>1217.0999999999999</v>
      </c>
      <c r="G109" s="785">
        <v>1979.2322999999999</v>
      </c>
      <c r="H109" s="786">
        <v>5816.5684000000001</v>
      </c>
      <c r="I109" s="785">
        <v>104141.8</v>
      </c>
      <c r="J109" s="785">
        <v>84014.182400000005</v>
      </c>
      <c r="K109" s="786">
        <v>112355.49</v>
      </c>
      <c r="L109" s="787">
        <v>0</v>
      </c>
      <c r="M109" s="787">
        <v>0</v>
      </c>
      <c r="N109" s="786">
        <v>0</v>
      </c>
      <c r="O109" s="788">
        <f>SUM(F109:H109)*C109/100+SUM(I109:K109)*D109/100+SUM(L109:N109)*E109/100</f>
        <v>0</v>
      </c>
      <c r="P109" s="789"/>
      <c r="Q109" s="1078"/>
      <c r="R109" s="1080"/>
    </row>
    <row r="110" spans="1:19" ht="25.5" hidden="1" customHeight="1">
      <c r="A110" s="860"/>
      <c r="B110" s="783" t="s">
        <v>72</v>
      </c>
      <c r="C110" s="1154">
        <v>0</v>
      </c>
      <c r="D110" s="1081">
        <v>0</v>
      </c>
      <c r="E110" s="1081">
        <v>0</v>
      </c>
      <c r="F110" s="1082">
        <v>1497.8</v>
      </c>
      <c r="G110" s="1082">
        <v>3744.2750000000001</v>
      </c>
      <c r="H110" s="1083">
        <v>2995.3</v>
      </c>
      <c r="I110" s="1082">
        <v>14</v>
      </c>
      <c r="J110" s="1082">
        <v>35.393999999999998</v>
      </c>
      <c r="K110" s="1083">
        <v>30.146000000000001</v>
      </c>
      <c r="L110" s="1082">
        <v>0</v>
      </c>
      <c r="M110" s="1082">
        <v>0</v>
      </c>
      <c r="N110" s="1083">
        <v>0</v>
      </c>
      <c r="O110" s="1084">
        <f>SUM(F110:H110)*C110/100+SUM(I110:K110)*D110/100+SUM(L110:N110)*E110/100</f>
        <v>0</v>
      </c>
      <c r="P110" s="1085"/>
      <c r="Q110" s="1086"/>
      <c r="R110" s="1080"/>
    </row>
    <row r="111" spans="1:19" ht="25.5" customHeight="1" thickBot="1">
      <c r="A111" s="860"/>
      <c r="B111" s="1178" t="s">
        <v>340</v>
      </c>
      <c r="C111" s="1155"/>
      <c r="D111" s="1087"/>
      <c r="E111" s="1087"/>
      <c r="F111" s="1088"/>
      <c r="G111" s="1088"/>
      <c r="H111" s="1088"/>
      <c r="I111" s="1088"/>
      <c r="J111" s="1088"/>
      <c r="K111" s="1088"/>
      <c r="L111" s="1088"/>
      <c r="M111" s="1088"/>
      <c r="N111" s="1088"/>
      <c r="O111" s="1089">
        <f>O112+O113</f>
        <v>200.32968399999999</v>
      </c>
      <c r="P111" s="1090">
        <v>450.8</v>
      </c>
      <c r="Q111" s="1091">
        <v>0</v>
      </c>
      <c r="R111" s="1033">
        <f>O111-P111-Q111</f>
        <v>-250.47031600000003</v>
      </c>
      <c r="S111" s="872"/>
    </row>
    <row r="112" spans="1:19" ht="25.5" customHeight="1">
      <c r="A112" s="860"/>
      <c r="B112" s="1181" t="s">
        <v>370</v>
      </c>
      <c r="C112" s="1156">
        <v>1</v>
      </c>
      <c r="D112" s="1092">
        <v>0</v>
      </c>
      <c r="E112" s="1092">
        <v>0</v>
      </c>
      <c r="F112" s="1093">
        <v>5816.5684000000001</v>
      </c>
      <c r="G112" s="1093">
        <v>2152.9</v>
      </c>
      <c r="H112" s="1093">
        <v>2454.6999999999998</v>
      </c>
      <c r="I112" s="1093">
        <v>112355.5</v>
      </c>
      <c r="J112" s="1093">
        <v>95584</v>
      </c>
      <c r="K112" s="1093">
        <v>202144.1</v>
      </c>
      <c r="L112" s="1093">
        <v>0</v>
      </c>
      <c r="M112" s="1093">
        <v>0</v>
      </c>
      <c r="N112" s="1093">
        <v>0</v>
      </c>
      <c r="O112" s="1093">
        <f>SUM(F112:H112)*C112/100+SUM(I112:K112)*D112/100+SUM(L112:N112)*E112/100</f>
        <v>104.24168399999999</v>
      </c>
      <c r="P112" s="971"/>
      <c r="Q112" s="972"/>
      <c r="R112" s="1094"/>
      <c r="S112" s="1095"/>
    </row>
    <row r="113" spans="1:19" ht="25.5" customHeight="1" thickBot="1">
      <c r="A113" s="860"/>
      <c r="B113" s="1215" t="s">
        <v>321</v>
      </c>
      <c r="C113" s="1213">
        <v>2</v>
      </c>
      <c r="D113" s="1214">
        <v>0</v>
      </c>
      <c r="E113" s="1214">
        <v>0</v>
      </c>
      <c r="F113" s="1216">
        <v>2995.3</v>
      </c>
      <c r="G113" s="1216">
        <v>1073.3</v>
      </c>
      <c r="H113" s="1216">
        <v>735.8</v>
      </c>
      <c r="I113" s="1216">
        <v>30.1</v>
      </c>
      <c r="J113" s="1216">
        <v>361</v>
      </c>
      <c r="K113" s="1216">
        <v>323.8</v>
      </c>
      <c r="L113" s="1216">
        <v>0</v>
      </c>
      <c r="M113" s="1216">
        <v>0</v>
      </c>
      <c r="N113" s="1216">
        <v>0</v>
      </c>
      <c r="O113" s="1217">
        <f>SUM(F113:H113)*C113/100+SUM(I113:K113)*D113/100+SUM(L113:N113)*E113/100</f>
        <v>96.088000000000008</v>
      </c>
      <c r="P113" s="705"/>
      <c r="Q113" s="973"/>
      <c r="R113" s="1096"/>
      <c r="S113" s="1095"/>
    </row>
    <row r="114" spans="1:19" ht="25.5" hidden="1" customHeight="1">
      <c r="A114" s="860"/>
      <c r="B114" s="778" t="s">
        <v>341</v>
      </c>
      <c r="C114" s="1152"/>
      <c r="D114" s="779"/>
      <c r="E114" s="779"/>
      <c r="F114" s="780"/>
      <c r="G114" s="780"/>
      <c r="H114" s="1097"/>
      <c r="I114" s="780"/>
      <c r="J114" s="780"/>
      <c r="K114" s="1097"/>
      <c r="L114" s="780"/>
      <c r="M114" s="780"/>
      <c r="N114" s="780"/>
      <c r="O114" s="781">
        <f>O115+O116</f>
        <v>0</v>
      </c>
      <c r="P114" s="1098">
        <v>0</v>
      </c>
      <c r="Q114" s="1099">
        <v>0</v>
      </c>
      <c r="R114" s="1077">
        <f>O114-P114-Q114</f>
        <v>0</v>
      </c>
      <c r="S114" s="1095"/>
    </row>
    <row r="115" spans="1:19" ht="25.5" hidden="1" customHeight="1">
      <c r="A115" s="860"/>
      <c r="B115" s="783" t="s">
        <v>348</v>
      </c>
      <c r="C115" s="1153">
        <v>0</v>
      </c>
      <c r="D115" s="784">
        <v>0</v>
      </c>
      <c r="E115" s="784">
        <v>0</v>
      </c>
      <c r="F115" s="785">
        <v>1217.0999999999999</v>
      </c>
      <c r="G115" s="785">
        <v>1979.2322999999999</v>
      </c>
      <c r="H115" s="786">
        <v>5816.5684000000001</v>
      </c>
      <c r="I115" s="785">
        <v>104141.8</v>
      </c>
      <c r="J115" s="785">
        <v>84014.182400000005</v>
      </c>
      <c r="K115" s="786">
        <v>112355.49</v>
      </c>
      <c r="L115" s="787">
        <v>0</v>
      </c>
      <c r="M115" s="787">
        <v>0</v>
      </c>
      <c r="N115" s="786">
        <v>0</v>
      </c>
      <c r="O115" s="788">
        <f>SUM(F115:H115)*C115/100+SUM(I115:K115)*D115/100+SUM(L115:N115)*E115/100</f>
        <v>0</v>
      </c>
      <c r="P115" s="705"/>
      <c r="Q115" s="973"/>
      <c r="R115" s="1080"/>
      <c r="S115" s="1095"/>
    </row>
    <row r="116" spans="1:19" ht="25.5" hidden="1" customHeight="1">
      <c r="A116" s="860"/>
      <c r="B116" s="783" t="s">
        <v>72</v>
      </c>
      <c r="C116" s="1154">
        <v>0</v>
      </c>
      <c r="D116" s="1081">
        <v>0</v>
      </c>
      <c r="E116" s="1081">
        <v>0</v>
      </c>
      <c r="F116" s="1082">
        <v>1497.8</v>
      </c>
      <c r="G116" s="1082">
        <v>3744.2750000000001</v>
      </c>
      <c r="H116" s="1083">
        <v>2995.3</v>
      </c>
      <c r="I116" s="1082">
        <v>14</v>
      </c>
      <c r="J116" s="1082">
        <v>35.393999999999998</v>
      </c>
      <c r="K116" s="1083">
        <v>30.146000000000001</v>
      </c>
      <c r="L116" s="1082">
        <v>0</v>
      </c>
      <c r="M116" s="1082">
        <v>0</v>
      </c>
      <c r="N116" s="1083">
        <v>0</v>
      </c>
      <c r="O116" s="1084">
        <f>SUM(F116:H116)*C116/100+SUM(I116:K116)*D116/100+SUM(L116:N116)*E116/100</f>
        <v>0</v>
      </c>
      <c r="P116" s="985"/>
      <c r="Q116" s="986"/>
      <c r="R116" s="1080"/>
      <c r="S116" s="1095"/>
    </row>
    <row r="117" spans="1:19" ht="25.5" customHeight="1" thickBot="1">
      <c r="A117" s="860"/>
      <c r="B117" s="1178" t="s">
        <v>342</v>
      </c>
      <c r="C117" s="1155"/>
      <c r="D117" s="1087"/>
      <c r="E117" s="1087"/>
      <c r="F117" s="1088"/>
      <c r="G117" s="1088"/>
      <c r="H117" s="1088"/>
      <c r="I117" s="1088"/>
      <c r="J117" s="1088"/>
      <c r="K117" s="1088"/>
      <c r="L117" s="1088"/>
      <c r="M117" s="1088"/>
      <c r="N117" s="1088"/>
      <c r="O117" s="1089">
        <f>O118+O119</f>
        <v>701.15389400000004</v>
      </c>
      <c r="P117" s="1090">
        <v>1832.4</v>
      </c>
      <c r="Q117" s="1091">
        <v>0</v>
      </c>
      <c r="R117" s="1033">
        <f>O117-P117-Q117</f>
        <v>-1131.2461060000001</v>
      </c>
      <c r="S117" s="872"/>
    </row>
    <row r="118" spans="1:19" ht="25.5" customHeight="1">
      <c r="A118" s="860"/>
      <c r="B118" s="1181" t="s">
        <v>370</v>
      </c>
      <c r="C118" s="1156">
        <v>3.5</v>
      </c>
      <c r="D118" s="1092">
        <v>0</v>
      </c>
      <c r="E118" s="1092">
        <v>0</v>
      </c>
      <c r="F118" s="1093">
        <v>5816.5684000000001</v>
      </c>
      <c r="G118" s="1093">
        <v>2152.9</v>
      </c>
      <c r="H118" s="1093">
        <v>2454.6999999999998</v>
      </c>
      <c r="I118" s="1093">
        <v>112355.5</v>
      </c>
      <c r="J118" s="1093">
        <v>95584</v>
      </c>
      <c r="K118" s="1093">
        <v>202144.1</v>
      </c>
      <c r="L118" s="1093">
        <v>0</v>
      </c>
      <c r="M118" s="1093">
        <v>0</v>
      </c>
      <c r="N118" s="1093">
        <v>0</v>
      </c>
      <c r="O118" s="1093">
        <f>SUM(F118:H118)*C118/100+SUM(I118:K118)*D118/100+SUM(L118:N118)*E118/100</f>
        <v>364.84589399999999</v>
      </c>
      <c r="P118" s="971"/>
      <c r="Q118" s="972"/>
      <c r="R118" s="1094"/>
      <c r="S118" s="1095"/>
    </row>
    <row r="119" spans="1:19" ht="25.5" customHeight="1" thickBot="1">
      <c r="A119" s="860"/>
      <c r="B119" s="1215" t="s">
        <v>321</v>
      </c>
      <c r="C119" s="1213">
        <v>7</v>
      </c>
      <c r="D119" s="1214">
        <v>0</v>
      </c>
      <c r="E119" s="1214">
        <v>0</v>
      </c>
      <c r="F119" s="1216">
        <v>2995.3</v>
      </c>
      <c r="G119" s="1216">
        <v>1073.3</v>
      </c>
      <c r="H119" s="1216">
        <v>735.8</v>
      </c>
      <c r="I119" s="1216">
        <v>30.1</v>
      </c>
      <c r="J119" s="1216">
        <v>361</v>
      </c>
      <c r="K119" s="1216">
        <v>323.8</v>
      </c>
      <c r="L119" s="1216">
        <v>0</v>
      </c>
      <c r="M119" s="1216">
        <v>0</v>
      </c>
      <c r="N119" s="1216">
        <v>0</v>
      </c>
      <c r="O119" s="1217">
        <f>SUM(F119:H119)*C119/100+SUM(I119:K119)*D119/100+SUM(L119:N119)*E119/100</f>
        <v>336.30800000000005</v>
      </c>
      <c r="P119" s="705"/>
      <c r="Q119" s="973"/>
      <c r="R119" s="1096"/>
      <c r="S119" s="1095"/>
    </row>
    <row r="120" spans="1:19" ht="25.5" hidden="1" customHeight="1">
      <c r="A120" s="860"/>
      <c r="B120" s="778" t="s">
        <v>343</v>
      </c>
      <c r="C120" s="1152"/>
      <c r="D120" s="779"/>
      <c r="E120" s="779"/>
      <c r="F120" s="1100"/>
      <c r="G120" s="1100"/>
      <c r="H120" s="1101"/>
      <c r="I120" s="1100"/>
      <c r="J120" s="1100"/>
      <c r="K120" s="1101"/>
      <c r="L120" s="1100"/>
      <c r="M120" s="1100"/>
      <c r="N120" s="1100"/>
      <c r="O120" s="1102">
        <f>O121+O122</f>
        <v>0</v>
      </c>
      <c r="P120" s="1098">
        <v>0</v>
      </c>
      <c r="Q120" s="1099">
        <v>0</v>
      </c>
      <c r="R120" s="1077">
        <f>O120-P120-Q120</f>
        <v>0</v>
      </c>
      <c r="S120" s="1095"/>
    </row>
    <row r="121" spans="1:19" ht="25.5" hidden="1" customHeight="1">
      <c r="A121" s="860"/>
      <c r="B121" s="783" t="s">
        <v>348</v>
      </c>
      <c r="C121" s="1153">
        <v>0</v>
      </c>
      <c r="D121" s="784">
        <v>0</v>
      </c>
      <c r="E121" s="784">
        <v>0</v>
      </c>
      <c r="F121" s="1103">
        <v>1217.0999999999999</v>
      </c>
      <c r="G121" s="1103">
        <v>1979.2322999999999</v>
      </c>
      <c r="H121" s="1104">
        <v>5816.5684000000001</v>
      </c>
      <c r="I121" s="1103">
        <v>104141.8</v>
      </c>
      <c r="J121" s="1103">
        <v>84014.182400000005</v>
      </c>
      <c r="K121" s="1104">
        <v>112355.49</v>
      </c>
      <c r="L121" s="1104">
        <v>0</v>
      </c>
      <c r="M121" s="1104">
        <v>0</v>
      </c>
      <c r="N121" s="1104">
        <v>0</v>
      </c>
      <c r="O121" s="1104">
        <f>SUM(F121:H121)*C121/100+SUM(I121:K121)*D121/100+SUM(L121:N121)*E121/100</f>
        <v>0</v>
      </c>
      <c r="P121" s="705"/>
      <c r="Q121" s="973"/>
      <c r="R121" s="1080"/>
      <c r="S121" s="1095"/>
    </row>
    <row r="122" spans="1:19" ht="25.5" hidden="1" customHeight="1">
      <c r="A122" s="860"/>
      <c r="B122" s="783" t="s">
        <v>72</v>
      </c>
      <c r="C122" s="1153">
        <v>0</v>
      </c>
      <c r="D122" s="784">
        <v>0</v>
      </c>
      <c r="E122" s="784">
        <v>0</v>
      </c>
      <c r="F122" s="1104">
        <v>1497.8</v>
      </c>
      <c r="G122" s="1104">
        <v>3744.2750000000001</v>
      </c>
      <c r="H122" s="1104">
        <v>2995.3</v>
      </c>
      <c r="I122" s="1104">
        <v>14</v>
      </c>
      <c r="J122" s="1104">
        <v>35.393999999999998</v>
      </c>
      <c r="K122" s="1104">
        <v>30.146000000000001</v>
      </c>
      <c r="L122" s="1104">
        <v>0</v>
      </c>
      <c r="M122" s="1104">
        <v>0</v>
      </c>
      <c r="N122" s="1104">
        <v>0</v>
      </c>
      <c r="O122" s="1104">
        <f>SUM(F122:H122)*C122/100+SUM(I122:K122)*D122/100+SUM(L122:N122)*E122/100</f>
        <v>0</v>
      </c>
      <c r="P122" s="705"/>
      <c r="Q122" s="973"/>
      <c r="R122" s="1080"/>
      <c r="S122" s="1095"/>
    </row>
    <row r="123" spans="1:19" ht="25.5" hidden="1" customHeight="1">
      <c r="A123" s="860"/>
      <c r="B123" s="778" t="s">
        <v>344</v>
      </c>
      <c r="C123" s="1152"/>
      <c r="D123" s="779"/>
      <c r="E123" s="779"/>
      <c r="F123" s="1100"/>
      <c r="G123" s="1100"/>
      <c r="H123" s="1100"/>
      <c r="I123" s="1100"/>
      <c r="J123" s="1100"/>
      <c r="K123" s="1100"/>
      <c r="L123" s="1100"/>
      <c r="M123" s="1100"/>
      <c r="N123" s="1100"/>
      <c r="O123" s="1102">
        <f>O124+O125</f>
        <v>0</v>
      </c>
      <c r="P123" s="1098">
        <v>0</v>
      </c>
      <c r="Q123" s="1099">
        <v>0</v>
      </c>
      <c r="R123" s="1077">
        <f>O123-P123-Q123</f>
        <v>0</v>
      </c>
      <c r="S123" s="1095"/>
    </row>
    <row r="124" spans="1:19" ht="25.5" hidden="1" customHeight="1">
      <c r="A124" s="860"/>
      <c r="B124" s="783" t="s">
        <v>348</v>
      </c>
      <c r="C124" s="1153">
        <v>0</v>
      </c>
      <c r="D124" s="784">
        <v>0</v>
      </c>
      <c r="E124" s="784">
        <v>0</v>
      </c>
      <c r="F124" s="1103">
        <v>1217.0999999999999</v>
      </c>
      <c r="G124" s="1103">
        <v>1979.2322999999999</v>
      </c>
      <c r="H124" s="1104">
        <v>5816.5684000000001</v>
      </c>
      <c r="I124" s="1103">
        <v>104141.8</v>
      </c>
      <c r="J124" s="1103">
        <v>84014.182400000005</v>
      </c>
      <c r="K124" s="1104">
        <v>112355.49</v>
      </c>
      <c r="L124" s="1104">
        <v>0</v>
      </c>
      <c r="M124" s="1104">
        <v>0</v>
      </c>
      <c r="N124" s="1104">
        <v>0</v>
      </c>
      <c r="O124" s="1104">
        <f>SUM(F124:H124)*C124/100+SUM(I124:K124)*D124/100+SUM(L124:N124)*E124/100</f>
        <v>0</v>
      </c>
      <c r="P124" s="705"/>
      <c r="Q124" s="973"/>
      <c r="R124" s="1080"/>
      <c r="S124" s="1095"/>
    </row>
    <row r="125" spans="1:19" ht="25.5" hidden="1" customHeight="1">
      <c r="A125" s="860"/>
      <c r="B125" s="783" t="s">
        <v>72</v>
      </c>
      <c r="C125" s="1154">
        <v>0</v>
      </c>
      <c r="D125" s="1081">
        <v>0</v>
      </c>
      <c r="E125" s="1081">
        <v>0</v>
      </c>
      <c r="F125" s="1105">
        <v>1497.8</v>
      </c>
      <c r="G125" s="1105">
        <v>3744.2750000000001</v>
      </c>
      <c r="H125" s="1105">
        <v>2995.3</v>
      </c>
      <c r="I125" s="1105">
        <v>14</v>
      </c>
      <c r="J125" s="1105">
        <v>35.393999999999998</v>
      </c>
      <c r="K125" s="1105">
        <v>30.146000000000001</v>
      </c>
      <c r="L125" s="1105">
        <v>0</v>
      </c>
      <c r="M125" s="1105">
        <v>0</v>
      </c>
      <c r="N125" s="1105">
        <v>0</v>
      </c>
      <c r="O125" s="1105">
        <f>SUM(F125:H125)*C125/100+SUM(I125:K125)*D125/100+SUM(L125:N125)*E125/100</f>
        <v>0</v>
      </c>
      <c r="P125" s="985"/>
      <c r="Q125" s="986"/>
      <c r="R125" s="1080"/>
      <c r="S125" s="1095"/>
    </row>
    <row r="126" spans="1:19" ht="25.5" customHeight="1" thickBot="1">
      <c r="A126" s="860"/>
      <c r="B126" s="1178" t="s">
        <v>316</v>
      </c>
      <c r="C126" s="1155"/>
      <c r="D126" s="1087"/>
      <c r="E126" s="1087"/>
      <c r="F126" s="1106"/>
      <c r="G126" s="1106"/>
      <c r="H126" s="1106"/>
      <c r="I126" s="1106"/>
      <c r="J126" s="1106"/>
      <c r="K126" s="1106"/>
      <c r="L126" s="1106"/>
      <c r="M126" s="1106"/>
      <c r="N126" s="1106"/>
      <c r="O126" s="1107">
        <f>O127+O128</f>
        <v>1642.5277879999999</v>
      </c>
      <c r="P126" s="1090">
        <v>4948.8999999999996</v>
      </c>
      <c r="Q126" s="1091">
        <v>0</v>
      </c>
      <c r="R126" s="1033">
        <f>O126-P126-Q126</f>
        <v>-3306.3722119999998</v>
      </c>
      <c r="S126" s="872"/>
    </row>
    <row r="127" spans="1:19" ht="25.5" customHeight="1" thickBot="1">
      <c r="A127" s="860"/>
      <c r="B127" s="1181" t="s">
        <v>370</v>
      </c>
      <c r="C127" s="1156">
        <v>7</v>
      </c>
      <c r="D127" s="1092">
        <v>0</v>
      </c>
      <c r="E127" s="1092">
        <v>0</v>
      </c>
      <c r="F127" s="1093">
        <v>5816.5684000000001</v>
      </c>
      <c r="G127" s="1093">
        <v>2152.9</v>
      </c>
      <c r="H127" s="1093">
        <v>2454.6999999999998</v>
      </c>
      <c r="I127" s="1093">
        <v>112355.5</v>
      </c>
      <c r="J127" s="1093">
        <v>95584</v>
      </c>
      <c r="K127" s="1093">
        <v>202144.1</v>
      </c>
      <c r="L127" s="1093">
        <v>0</v>
      </c>
      <c r="M127" s="1093">
        <v>0</v>
      </c>
      <c r="N127" s="1093">
        <v>0</v>
      </c>
      <c r="O127" s="1093">
        <f>SUM(F127:H127)*C127/100+SUM(I127:K127)*D127/100+SUM(L127:N127)*E127/100</f>
        <v>729.69178799999997</v>
      </c>
      <c r="P127" s="1108"/>
      <c r="Q127" s="1109"/>
      <c r="R127" s="1094"/>
    </row>
    <row r="128" spans="1:19" ht="16.2" thickBot="1">
      <c r="A128" s="860"/>
      <c r="B128" s="1215" t="s">
        <v>321</v>
      </c>
      <c r="C128" s="1213">
        <v>19</v>
      </c>
      <c r="D128" s="1214">
        <v>0</v>
      </c>
      <c r="E128" s="1214">
        <v>0</v>
      </c>
      <c r="F128" s="1216">
        <v>2995.3</v>
      </c>
      <c r="G128" s="1216">
        <v>1073.3</v>
      </c>
      <c r="H128" s="1216">
        <v>735.8</v>
      </c>
      <c r="I128" s="1216">
        <v>30.1</v>
      </c>
      <c r="J128" s="1216">
        <v>361</v>
      </c>
      <c r="K128" s="1216">
        <v>323.8</v>
      </c>
      <c r="L128" s="1216">
        <v>0</v>
      </c>
      <c r="M128" s="1216">
        <v>0</v>
      </c>
      <c r="N128" s="1216">
        <v>0</v>
      </c>
      <c r="O128" s="1217">
        <f>SUM(F128:H128)*C128/100+SUM(I128:K128)*D128/100+SUM(L128:N128)*E128/100</f>
        <v>912.83600000000001</v>
      </c>
      <c r="P128" s="789"/>
      <c r="Q128" s="1078"/>
      <c r="R128" s="1110"/>
    </row>
    <row r="129" spans="1:19" ht="25.5" customHeight="1">
      <c r="A129" s="860"/>
      <c r="R129" s="1111"/>
      <c r="S129" s="1296">
        <f>S96+S93+S89+S86+S83+S79+S64+S48+S46+S25+S18+S16+S8</f>
        <v>272430.47595599992</v>
      </c>
    </row>
    <row r="130" spans="1:19" ht="25.5" customHeight="1" thickBot="1">
      <c r="A130" s="1112"/>
      <c r="C130" s="860"/>
      <c r="D130" s="860"/>
      <c r="E130" s="860"/>
      <c r="F130" s="860"/>
      <c r="G130" s="860"/>
      <c r="H130" s="860"/>
      <c r="I130" s="860"/>
      <c r="J130" s="860"/>
      <c r="K130" s="860"/>
      <c r="L130" s="860"/>
      <c r="M130" s="860"/>
      <c r="N130" s="860"/>
      <c r="O130" s="860"/>
      <c r="P130" s="860"/>
      <c r="Q130" s="860"/>
      <c r="R130" s="1113"/>
      <c r="S130" s="1297"/>
    </row>
    <row r="131" spans="1:19" ht="13.8">
      <c r="A131" s="1112"/>
      <c r="C131" s="860"/>
      <c r="D131" s="860"/>
      <c r="E131" s="860"/>
      <c r="F131" s="860"/>
      <c r="G131" s="860"/>
      <c r="H131" s="860"/>
      <c r="I131" s="860"/>
      <c r="J131" s="860"/>
      <c r="K131" s="860"/>
      <c r="L131" s="860"/>
      <c r="M131" s="860"/>
      <c r="N131" s="860"/>
      <c r="O131" s="860"/>
      <c r="P131" s="860"/>
      <c r="Q131" s="860"/>
      <c r="R131" s="860"/>
    </row>
    <row r="135" spans="1:19">
      <c r="S135" s="1114"/>
    </row>
  </sheetData>
  <mergeCells count="24">
    <mergeCell ref="P4:Q5"/>
    <mergeCell ref="R4:R7"/>
    <mergeCell ref="S4:S7"/>
    <mergeCell ref="F5:H5"/>
    <mergeCell ref="I5:K5"/>
    <mergeCell ref="L5:N5"/>
    <mergeCell ref="F6:F7"/>
    <mergeCell ref="S129:S130"/>
    <mergeCell ref="G6:G7"/>
    <mergeCell ref="H6:H7"/>
    <mergeCell ref="I6:I7"/>
    <mergeCell ref="J6:J7"/>
    <mergeCell ref="K6:K7"/>
    <mergeCell ref="L6:L7"/>
    <mergeCell ref="B1:R1"/>
    <mergeCell ref="B2:Q2"/>
    <mergeCell ref="M6:M7"/>
    <mergeCell ref="N6:N7"/>
    <mergeCell ref="O6:O7"/>
    <mergeCell ref="P6:P7"/>
    <mergeCell ref="Q6:Q7"/>
    <mergeCell ref="B4:B7"/>
    <mergeCell ref="C4:E6"/>
    <mergeCell ref="F4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2"/>
  <sheetViews>
    <sheetView topLeftCell="A31" workbookViewId="0">
      <selection activeCell="V15" sqref="V15"/>
    </sheetView>
  </sheetViews>
  <sheetFormatPr defaultColWidth="9.109375" defaultRowHeight="15"/>
  <cols>
    <col min="1" max="1" width="9.109375" style="28"/>
    <col min="2" max="2" width="37.5546875" style="28" customWidth="1"/>
    <col min="3" max="3" width="5.5546875" style="28" hidden="1" customWidth="1"/>
    <col min="4" max="4" width="6.44140625" style="28" hidden="1" customWidth="1"/>
    <col min="5" max="5" width="7.44140625" style="28" hidden="1" customWidth="1"/>
    <col min="6" max="8" width="9.33203125" style="28" hidden="1" customWidth="1"/>
    <col min="9" max="9" width="10.5546875" style="28" hidden="1" customWidth="1"/>
    <col min="10" max="11" width="10" style="28" hidden="1" customWidth="1"/>
    <col min="12" max="12" width="9.33203125" style="28" hidden="1" customWidth="1"/>
    <col min="13" max="14" width="9.88671875" style="28" hidden="1" customWidth="1"/>
    <col min="15" max="15" width="14.5546875" style="28" customWidth="1"/>
    <col min="16" max="16" width="14.88671875" style="28" customWidth="1"/>
    <col min="17" max="17" width="18.109375" style="54" customWidth="1"/>
    <col min="18" max="16384" width="9.109375" style="28"/>
  </cols>
  <sheetData>
    <row r="1" spans="2:17" ht="17.399999999999999">
      <c r="B1" s="1312" t="s">
        <v>18</v>
      </c>
      <c r="C1" s="1312"/>
      <c r="D1" s="1312"/>
      <c r="E1" s="1312"/>
      <c r="F1" s="1312"/>
      <c r="G1" s="1312"/>
      <c r="H1" s="1312"/>
      <c r="I1" s="1312"/>
      <c r="J1" s="1312"/>
      <c r="K1" s="1312"/>
      <c r="L1" s="1312"/>
      <c r="M1" s="1312"/>
      <c r="N1" s="1312"/>
      <c r="O1" s="1312"/>
      <c r="P1" s="1312"/>
      <c r="Q1" s="1312"/>
    </row>
    <row r="2" spans="2:17" ht="56.25" customHeight="1" thickBot="1">
      <c r="B2" s="1313" t="s">
        <v>124</v>
      </c>
      <c r="C2" s="1313"/>
      <c r="D2" s="1313"/>
      <c r="E2" s="1313"/>
      <c r="F2" s="1313"/>
      <c r="G2" s="1313"/>
      <c r="H2" s="1313"/>
      <c r="I2" s="1313"/>
      <c r="J2" s="1313"/>
      <c r="K2" s="1313"/>
      <c r="L2" s="1313"/>
      <c r="M2" s="1313"/>
      <c r="N2" s="1313"/>
      <c r="O2" s="1313"/>
      <c r="P2" s="1313"/>
      <c r="Q2" s="1313"/>
    </row>
    <row r="3" spans="2:17" ht="21" customHeight="1">
      <c r="B3" s="1306" t="s">
        <v>67</v>
      </c>
      <c r="C3" s="1309" t="s">
        <v>62</v>
      </c>
      <c r="D3" s="1309"/>
      <c r="E3" s="1309"/>
      <c r="F3" s="1309" t="s">
        <v>64</v>
      </c>
      <c r="G3" s="1309"/>
      <c r="H3" s="1309"/>
      <c r="I3" s="1309"/>
      <c r="J3" s="1309"/>
      <c r="K3" s="1309"/>
      <c r="L3" s="1309"/>
      <c r="M3" s="1309"/>
      <c r="N3" s="1309"/>
      <c r="O3" s="1309" t="s">
        <v>121</v>
      </c>
      <c r="P3" s="1309" t="s">
        <v>220</v>
      </c>
      <c r="Q3" s="1314" t="s">
        <v>123</v>
      </c>
    </row>
    <row r="4" spans="2:17" ht="12.75" customHeight="1">
      <c r="B4" s="1307"/>
      <c r="C4" s="1310"/>
      <c r="D4" s="1310"/>
      <c r="E4" s="1310"/>
      <c r="F4" s="1310" t="s">
        <v>63</v>
      </c>
      <c r="G4" s="1310"/>
      <c r="H4" s="1310"/>
      <c r="I4" s="1310" t="s">
        <v>65</v>
      </c>
      <c r="J4" s="1310"/>
      <c r="K4" s="1310"/>
      <c r="L4" s="1310" t="s">
        <v>66</v>
      </c>
      <c r="M4" s="1310"/>
      <c r="N4" s="1310"/>
      <c r="O4" s="1310"/>
      <c r="P4" s="1310"/>
      <c r="Q4" s="1315"/>
    </row>
    <row r="5" spans="2:17" ht="20.25" customHeight="1">
      <c r="B5" s="1307"/>
      <c r="C5" s="1310"/>
      <c r="D5" s="1310"/>
      <c r="E5" s="1310"/>
      <c r="F5" s="1310" t="s">
        <v>68</v>
      </c>
      <c r="G5" s="1310" t="s">
        <v>69</v>
      </c>
      <c r="H5" s="1310" t="s">
        <v>70</v>
      </c>
      <c r="I5" s="1310" t="s">
        <v>68</v>
      </c>
      <c r="J5" s="1310" t="s">
        <v>69</v>
      </c>
      <c r="K5" s="1310" t="s">
        <v>70</v>
      </c>
      <c r="L5" s="1310" t="s">
        <v>68</v>
      </c>
      <c r="M5" s="1310" t="s">
        <v>69</v>
      </c>
      <c r="N5" s="1310" t="s">
        <v>70</v>
      </c>
      <c r="O5" s="1310"/>
      <c r="P5" s="1310"/>
      <c r="Q5" s="1315"/>
    </row>
    <row r="6" spans="2:17" ht="29.25" customHeight="1" thickBot="1">
      <c r="B6" s="1308"/>
      <c r="C6" s="68" t="s">
        <v>59</v>
      </c>
      <c r="D6" s="68" t="s">
        <v>60</v>
      </c>
      <c r="E6" s="68" t="s">
        <v>61</v>
      </c>
      <c r="F6" s="1311"/>
      <c r="G6" s="1311"/>
      <c r="H6" s="1311"/>
      <c r="I6" s="1311"/>
      <c r="J6" s="1311"/>
      <c r="K6" s="1311"/>
      <c r="L6" s="1311"/>
      <c r="M6" s="1311"/>
      <c r="N6" s="1311"/>
      <c r="O6" s="1311"/>
      <c r="P6" s="1311"/>
      <c r="Q6" s="1316"/>
    </row>
    <row r="7" spans="2:17" ht="21" thickBot="1">
      <c r="B7" s="74" t="s">
        <v>55</v>
      </c>
      <c r="C7" s="75"/>
      <c r="D7" s="75"/>
      <c r="E7" s="75"/>
      <c r="F7" s="76">
        <f>SUM(F8:F13)</f>
        <v>540.29999999999995</v>
      </c>
      <c r="G7" s="76">
        <f t="shared" ref="G7:N7" si="0">SUM(G8:G13)</f>
        <v>580.5</v>
      </c>
      <c r="H7" s="76">
        <f t="shared" si="0"/>
        <v>572.82000000000005</v>
      </c>
      <c r="I7" s="76">
        <f t="shared" si="0"/>
        <v>14016.5</v>
      </c>
      <c r="J7" s="76">
        <f t="shared" si="0"/>
        <v>18928.599999999999</v>
      </c>
      <c r="K7" s="76">
        <f t="shared" si="0"/>
        <v>13903.7</v>
      </c>
      <c r="L7" s="76">
        <f t="shared" si="0"/>
        <v>9852.5</v>
      </c>
      <c r="M7" s="76">
        <f t="shared" si="0"/>
        <v>17258.8</v>
      </c>
      <c r="N7" s="76">
        <f t="shared" si="0"/>
        <v>18482.699999999997</v>
      </c>
      <c r="O7" s="77">
        <f>'2016'!P8</f>
        <v>0</v>
      </c>
      <c r="P7" s="77">
        <f>'2016'!Q8</f>
        <v>94136.4</v>
      </c>
      <c r="Q7" s="78">
        <f>'2016'!R8</f>
        <v>6328.1459999999934</v>
      </c>
    </row>
    <row r="8" spans="2:17" ht="18.600000000000001" hidden="1" thickBot="1">
      <c r="B8" s="31" t="s">
        <v>49</v>
      </c>
      <c r="C8" s="32">
        <v>100</v>
      </c>
      <c r="D8" s="32">
        <v>100</v>
      </c>
      <c r="E8" s="32">
        <v>100</v>
      </c>
      <c r="F8" s="33">
        <v>113.8</v>
      </c>
      <c r="G8" s="33">
        <v>73.7</v>
      </c>
      <c r="H8" s="33">
        <v>83.5</v>
      </c>
      <c r="I8" s="33">
        <v>7325.1</v>
      </c>
      <c r="J8" s="33">
        <v>7172.2</v>
      </c>
      <c r="K8" s="33">
        <v>6093.7</v>
      </c>
      <c r="L8" s="33">
        <v>4.8</v>
      </c>
      <c r="M8" s="33">
        <v>14.7</v>
      </c>
      <c r="N8" s="33">
        <v>23.3</v>
      </c>
      <c r="O8" s="34"/>
      <c r="P8" s="34"/>
      <c r="Q8" s="64"/>
    </row>
    <row r="9" spans="2:17" ht="18" hidden="1" customHeight="1">
      <c r="B9" s="36" t="s">
        <v>50</v>
      </c>
      <c r="C9" s="29">
        <v>100</v>
      </c>
      <c r="D9" s="29">
        <v>100</v>
      </c>
      <c r="E9" s="29">
        <v>100</v>
      </c>
      <c r="F9" s="37">
        <v>12.8</v>
      </c>
      <c r="G9" s="37">
        <v>11.6</v>
      </c>
      <c r="H9" s="37">
        <v>11.5</v>
      </c>
      <c r="I9" s="37">
        <v>194.3</v>
      </c>
      <c r="J9" s="37">
        <v>175.8</v>
      </c>
      <c r="K9" s="37">
        <v>112.2</v>
      </c>
      <c r="L9" s="37">
        <v>84</v>
      </c>
      <c r="M9" s="37">
        <v>15.3</v>
      </c>
      <c r="N9" s="37">
        <v>10.7</v>
      </c>
      <c r="O9" s="34"/>
      <c r="P9" s="34"/>
      <c r="Q9" s="64"/>
    </row>
    <row r="10" spans="2:17" ht="13.5" hidden="1" customHeight="1">
      <c r="B10" s="36" t="s">
        <v>51</v>
      </c>
      <c r="C10" s="29">
        <v>100</v>
      </c>
      <c r="D10" s="29">
        <v>100</v>
      </c>
      <c r="E10" s="29">
        <v>100</v>
      </c>
      <c r="F10" s="38">
        <v>0</v>
      </c>
      <c r="G10" s="38">
        <v>0</v>
      </c>
      <c r="H10" s="38">
        <v>0</v>
      </c>
      <c r="I10" s="37">
        <v>180.7</v>
      </c>
      <c r="J10" s="37">
        <v>154.6</v>
      </c>
      <c r="K10" s="37">
        <v>89.8</v>
      </c>
      <c r="L10" s="37">
        <v>2.1</v>
      </c>
      <c r="M10" s="37">
        <v>3.7</v>
      </c>
      <c r="N10" s="37">
        <v>0.9</v>
      </c>
      <c r="O10" s="34"/>
      <c r="P10" s="34"/>
      <c r="Q10" s="64"/>
    </row>
    <row r="11" spans="2:17" ht="21" hidden="1" customHeight="1">
      <c r="B11" s="36" t="s">
        <v>52</v>
      </c>
      <c r="C11" s="29">
        <v>100</v>
      </c>
      <c r="D11" s="29">
        <v>100</v>
      </c>
      <c r="E11" s="29">
        <v>100</v>
      </c>
      <c r="F11" s="37">
        <v>104.1</v>
      </c>
      <c r="G11" s="37">
        <v>91.5</v>
      </c>
      <c r="H11" s="37">
        <v>147.1</v>
      </c>
      <c r="I11" s="37">
        <v>1350.7</v>
      </c>
      <c r="J11" s="37">
        <v>1388.2</v>
      </c>
      <c r="K11" s="37">
        <v>1523.8</v>
      </c>
      <c r="L11" s="37">
        <v>4761.6000000000004</v>
      </c>
      <c r="M11" s="37">
        <v>5184</v>
      </c>
      <c r="N11" s="37">
        <v>6290.4</v>
      </c>
      <c r="O11" s="34"/>
      <c r="P11" s="34"/>
      <c r="Q11" s="64"/>
    </row>
    <row r="12" spans="2:17" ht="14.25" hidden="1" customHeight="1">
      <c r="B12" s="36" t="s">
        <v>53</v>
      </c>
      <c r="C12" s="29">
        <v>100</v>
      </c>
      <c r="D12" s="29">
        <v>100</v>
      </c>
      <c r="E12" s="29">
        <v>100</v>
      </c>
      <c r="F12" s="37">
        <v>309.60000000000002</v>
      </c>
      <c r="G12" s="37">
        <v>403.7</v>
      </c>
      <c r="H12" s="37">
        <v>330.72</v>
      </c>
      <c r="I12" s="37">
        <v>4965.7</v>
      </c>
      <c r="J12" s="37">
        <v>10037.799999999999</v>
      </c>
      <c r="K12" s="37">
        <v>6084.2</v>
      </c>
      <c r="L12" s="37">
        <v>5000</v>
      </c>
      <c r="M12" s="37">
        <v>12041.1</v>
      </c>
      <c r="N12" s="37">
        <v>12157.4</v>
      </c>
      <c r="O12" s="30"/>
      <c r="P12" s="30"/>
      <c r="Q12" s="64"/>
    </row>
    <row r="13" spans="2:17" ht="17.25" hidden="1" customHeight="1" thickBot="1">
      <c r="B13" s="39" t="s">
        <v>54</v>
      </c>
      <c r="C13" s="40">
        <v>100</v>
      </c>
      <c r="D13" s="40">
        <v>100</v>
      </c>
      <c r="E13" s="40">
        <v>100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57"/>
      <c r="P13" s="57"/>
      <c r="Q13" s="65"/>
    </row>
    <row r="14" spans="2:17" ht="21" customHeight="1" thickBot="1">
      <c r="B14" s="55" t="s">
        <v>115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9">
        <f>SUM(O15:O29)</f>
        <v>216688.40000000002</v>
      </c>
      <c r="P14" s="59">
        <f>SUM(P15:P29)</f>
        <v>150509.59999999998</v>
      </c>
      <c r="Q14" s="59">
        <f>SUM(Q15:Q29)</f>
        <v>52648.089599999999</v>
      </c>
    </row>
    <row r="15" spans="2:17" ht="18">
      <c r="B15" s="42" t="s">
        <v>56</v>
      </c>
      <c r="C15" s="32"/>
      <c r="D15" s="32"/>
      <c r="E15" s="32"/>
      <c r="F15" s="43"/>
      <c r="G15" s="43"/>
      <c r="H15" s="43"/>
      <c r="I15" s="43"/>
      <c r="J15" s="43"/>
      <c r="K15" s="43"/>
      <c r="L15" s="43"/>
      <c r="M15" s="43"/>
      <c r="N15" s="43"/>
      <c r="O15" s="58">
        <f>'2016'!P16</f>
        <v>114590.2</v>
      </c>
      <c r="P15" s="58">
        <f>'2016'!Q16</f>
        <v>94677</v>
      </c>
      <c r="Q15" s="94">
        <v>0</v>
      </c>
    </row>
    <row r="16" spans="2:17" ht="18" hidden="1">
      <c r="B16" s="44" t="s">
        <v>58</v>
      </c>
      <c r="C16" s="29">
        <v>100</v>
      </c>
      <c r="D16" s="29">
        <v>50</v>
      </c>
      <c r="E16" s="29">
        <v>100</v>
      </c>
      <c r="F16" s="37">
        <v>2300.4</v>
      </c>
      <c r="G16" s="37">
        <v>2318.6999999999998</v>
      </c>
      <c r="H16" s="37">
        <v>1217.0999999999999</v>
      </c>
      <c r="I16" s="37">
        <v>443984.4</v>
      </c>
      <c r="J16" s="37">
        <v>81259.7</v>
      </c>
      <c r="K16" s="37">
        <v>104141.8</v>
      </c>
      <c r="L16" s="38">
        <v>0</v>
      </c>
      <c r="M16" s="38">
        <v>0</v>
      </c>
      <c r="N16" s="38">
        <v>0</v>
      </c>
      <c r="O16" s="30"/>
      <c r="P16" s="30"/>
      <c r="Q16" s="95"/>
    </row>
    <row r="17" spans="2:17" ht="18">
      <c r="B17" s="45" t="s">
        <v>71</v>
      </c>
      <c r="C17" s="29"/>
      <c r="D17" s="29"/>
      <c r="E17" s="29"/>
      <c r="F17" s="46"/>
      <c r="G17" s="46"/>
      <c r="H17" s="46"/>
      <c r="I17" s="46"/>
      <c r="J17" s="46"/>
      <c r="K17" s="46"/>
      <c r="L17" s="46"/>
      <c r="M17" s="46"/>
      <c r="N17" s="46"/>
      <c r="O17" s="30">
        <f>'2016'!P18</f>
        <v>4342.1000000000004</v>
      </c>
      <c r="P17" s="30">
        <f>'2016'!Q18</f>
        <v>0</v>
      </c>
      <c r="Q17" s="96">
        <f>'2016'!R18</f>
        <v>4729.6689999999999</v>
      </c>
    </row>
    <row r="18" spans="2:17" ht="30" hidden="1">
      <c r="B18" s="44" t="s">
        <v>72</v>
      </c>
      <c r="C18" s="29">
        <v>100</v>
      </c>
      <c r="D18" s="29">
        <v>100</v>
      </c>
      <c r="E18" s="29">
        <v>40</v>
      </c>
      <c r="F18" s="38">
        <v>3059.9</v>
      </c>
      <c r="G18" s="38">
        <v>3744.5</v>
      </c>
      <c r="H18" s="38">
        <v>1497.8</v>
      </c>
      <c r="I18" s="38">
        <v>21.3</v>
      </c>
      <c r="J18" s="38">
        <v>35.799999999999997</v>
      </c>
      <c r="K18" s="38">
        <v>14</v>
      </c>
      <c r="L18" s="38">
        <v>0</v>
      </c>
      <c r="M18" s="38">
        <v>0</v>
      </c>
      <c r="N18" s="38">
        <v>0</v>
      </c>
      <c r="O18" s="30"/>
      <c r="P18" s="30"/>
      <c r="Q18" s="95"/>
    </row>
    <row r="19" spans="2:17" ht="18">
      <c r="B19" s="47" t="s">
        <v>113</v>
      </c>
      <c r="C19" s="29"/>
      <c r="D19" s="29"/>
      <c r="E19" s="29"/>
      <c r="F19" s="38"/>
      <c r="G19" s="29"/>
      <c r="H19" s="29"/>
      <c r="I19" s="29"/>
      <c r="J19" s="29"/>
      <c r="K19" s="29"/>
      <c r="L19" s="29"/>
      <c r="M19" s="29"/>
      <c r="N19" s="29"/>
      <c r="O19" s="30">
        <f>'2016'!P20</f>
        <v>29989.5</v>
      </c>
      <c r="P19" s="30">
        <f>'2016'!Q20</f>
        <v>20862.2</v>
      </c>
      <c r="Q19" s="96">
        <v>0</v>
      </c>
    </row>
    <row r="20" spans="2:17" ht="18" hidden="1">
      <c r="B20" s="44" t="s">
        <v>58</v>
      </c>
      <c r="C20" s="29">
        <v>0</v>
      </c>
      <c r="D20" s="29">
        <v>12.5</v>
      </c>
      <c r="E20" s="29">
        <v>0</v>
      </c>
      <c r="F20" s="38">
        <v>2300.4</v>
      </c>
      <c r="G20" s="38">
        <v>2318.6999999999998</v>
      </c>
      <c r="H20" s="38">
        <v>1217.0999999999999</v>
      </c>
      <c r="I20" s="38">
        <v>443984.4</v>
      </c>
      <c r="J20" s="38">
        <v>81259.7</v>
      </c>
      <c r="K20" s="38">
        <v>104141.8</v>
      </c>
      <c r="L20" s="38">
        <v>0</v>
      </c>
      <c r="M20" s="38">
        <v>0</v>
      </c>
      <c r="N20" s="38">
        <v>0</v>
      </c>
      <c r="O20" s="30"/>
      <c r="P20" s="30"/>
      <c r="Q20" s="95"/>
    </row>
    <row r="21" spans="2:17" ht="18">
      <c r="B21" s="47" t="s">
        <v>73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>
        <f>'2016'!P22</f>
        <v>25838.2</v>
      </c>
      <c r="P21" s="30">
        <f>'2016'!Q22</f>
        <v>27470.6</v>
      </c>
      <c r="Q21" s="96">
        <v>0</v>
      </c>
    </row>
    <row r="22" spans="2:17" ht="18" hidden="1">
      <c r="B22" s="44" t="s">
        <v>58</v>
      </c>
      <c r="C22" s="29">
        <v>0</v>
      </c>
      <c r="D22" s="29">
        <v>12.5</v>
      </c>
      <c r="E22" s="29">
        <v>0</v>
      </c>
      <c r="F22" s="38">
        <v>2300.4</v>
      </c>
      <c r="G22" s="38">
        <v>2318.6999999999998</v>
      </c>
      <c r="H22" s="38">
        <v>1217.0999999999999</v>
      </c>
      <c r="I22" s="38">
        <v>443984.4</v>
      </c>
      <c r="J22" s="38">
        <v>81259.7</v>
      </c>
      <c r="K22" s="38">
        <v>104141.8</v>
      </c>
      <c r="L22" s="38">
        <v>0</v>
      </c>
      <c r="M22" s="38">
        <v>0</v>
      </c>
      <c r="N22" s="38">
        <v>0</v>
      </c>
      <c r="O22" s="30"/>
      <c r="P22" s="30"/>
      <c r="Q22" s="95"/>
    </row>
    <row r="23" spans="2:17" ht="18">
      <c r="B23" s="47" t="s">
        <v>74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>
        <f>'2016'!P24</f>
        <v>11935.7</v>
      </c>
      <c r="P23" s="30">
        <f>'2016'!Q24</f>
        <v>7499.8</v>
      </c>
      <c r="Q23" s="96">
        <f>'2016'!R24</f>
        <v>47918.420599999998</v>
      </c>
    </row>
    <row r="24" spans="2:17" ht="18" hidden="1">
      <c r="B24" s="44" t="s">
        <v>58</v>
      </c>
      <c r="C24" s="29">
        <v>0</v>
      </c>
      <c r="D24" s="29">
        <v>12.5</v>
      </c>
      <c r="E24" s="29">
        <v>0</v>
      </c>
      <c r="F24" s="38">
        <v>2300.4</v>
      </c>
      <c r="G24" s="38">
        <v>2318.6999999999998</v>
      </c>
      <c r="H24" s="38">
        <v>1217.0999999999999</v>
      </c>
      <c r="I24" s="38">
        <v>443984.4</v>
      </c>
      <c r="J24" s="38">
        <v>81259.7</v>
      </c>
      <c r="K24" s="38">
        <v>104141.8</v>
      </c>
      <c r="L24" s="38">
        <v>0</v>
      </c>
      <c r="M24" s="38">
        <v>0</v>
      </c>
      <c r="N24" s="38">
        <v>0</v>
      </c>
      <c r="O24" s="30"/>
      <c r="P24" s="30"/>
      <c r="Q24" s="95"/>
    </row>
    <row r="25" spans="2:17" ht="18">
      <c r="B25" s="47" t="s">
        <v>75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0">
        <f>'2016'!P26</f>
        <v>29992.7</v>
      </c>
      <c r="P25" s="30">
        <f>'2016'!Q26</f>
        <v>0</v>
      </c>
      <c r="Q25" s="96">
        <v>0</v>
      </c>
    </row>
    <row r="26" spans="2:17" ht="18" hidden="1">
      <c r="B26" s="44" t="s">
        <v>58</v>
      </c>
      <c r="C26" s="29">
        <v>0</v>
      </c>
      <c r="D26" s="29">
        <v>12.5</v>
      </c>
      <c r="E26" s="29">
        <v>0</v>
      </c>
      <c r="F26" s="38">
        <v>2300.4</v>
      </c>
      <c r="G26" s="38">
        <v>2318.6999999999998</v>
      </c>
      <c r="H26" s="38">
        <v>1217.0999999999999</v>
      </c>
      <c r="I26" s="38">
        <v>443984.4</v>
      </c>
      <c r="J26" s="38">
        <v>81259.7</v>
      </c>
      <c r="K26" s="38">
        <v>104141.8</v>
      </c>
      <c r="L26" s="38">
        <v>0</v>
      </c>
      <c r="M26" s="38">
        <v>0</v>
      </c>
      <c r="N26" s="38">
        <v>0</v>
      </c>
      <c r="O26" s="30"/>
      <c r="P26" s="30"/>
      <c r="Q26" s="95"/>
    </row>
    <row r="27" spans="2:17" ht="18">
      <c r="B27" s="47" t="s">
        <v>76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30">
        <v>0</v>
      </c>
      <c r="P27" s="30">
        <v>0</v>
      </c>
      <c r="Q27" s="96">
        <v>0</v>
      </c>
    </row>
    <row r="28" spans="2:17" ht="30" hidden="1">
      <c r="B28" s="44" t="s">
        <v>72</v>
      </c>
      <c r="C28" s="29">
        <v>0</v>
      </c>
      <c r="D28" s="29">
        <v>0</v>
      </c>
      <c r="E28" s="29">
        <v>30</v>
      </c>
      <c r="F28" s="38">
        <v>3059.9</v>
      </c>
      <c r="G28" s="38">
        <v>3744.5</v>
      </c>
      <c r="H28" s="38">
        <v>1497.8</v>
      </c>
      <c r="I28" s="38">
        <v>21.3</v>
      </c>
      <c r="J28" s="38">
        <v>35.799999999999997</v>
      </c>
      <c r="K28" s="38">
        <v>14</v>
      </c>
      <c r="L28" s="38">
        <v>0</v>
      </c>
      <c r="M28" s="38">
        <v>0</v>
      </c>
      <c r="N28" s="38">
        <v>0</v>
      </c>
      <c r="O28" s="30"/>
      <c r="P28" s="30"/>
      <c r="Q28" s="95"/>
    </row>
    <row r="29" spans="2:17" ht="18.600000000000001" thickBot="1">
      <c r="B29" s="47" t="s">
        <v>77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30">
        <v>0</v>
      </c>
      <c r="P29" s="30">
        <v>0</v>
      </c>
      <c r="Q29" s="96">
        <v>0</v>
      </c>
    </row>
    <row r="30" spans="2:17" ht="30.6" hidden="1" thickBot="1">
      <c r="B30" s="48" t="s">
        <v>72</v>
      </c>
      <c r="C30" s="40">
        <v>0</v>
      </c>
      <c r="D30" s="40">
        <v>0</v>
      </c>
      <c r="E30" s="40">
        <v>30</v>
      </c>
      <c r="F30" s="41">
        <v>3059.9</v>
      </c>
      <c r="G30" s="41">
        <v>3744.5</v>
      </c>
      <c r="H30" s="41">
        <v>1497.8</v>
      </c>
      <c r="I30" s="41">
        <v>21.3</v>
      </c>
      <c r="J30" s="41">
        <v>35.799999999999997</v>
      </c>
      <c r="K30" s="41">
        <v>14</v>
      </c>
      <c r="L30" s="41">
        <v>0</v>
      </c>
      <c r="M30" s="41">
        <v>0</v>
      </c>
      <c r="N30" s="41">
        <v>0</v>
      </c>
      <c r="O30" s="57"/>
      <c r="P30" s="57"/>
      <c r="Q30" s="187"/>
    </row>
    <row r="31" spans="2:17" ht="21" thickBot="1">
      <c r="B31" s="61" t="s">
        <v>78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9">
        <f>SUM(O32:O60)</f>
        <v>19674.3</v>
      </c>
      <c r="P31" s="69">
        <f>SUM(P32:P60)</f>
        <v>25525.3</v>
      </c>
      <c r="Q31" s="188">
        <f>SUM(Q32:Q60)</f>
        <v>38768.969999999994</v>
      </c>
    </row>
    <row r="32" spans="2:17" ht="18">
      <c r="B32" s="60" t="s">
        <v>79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58">
        <f>'2016'!P33</f>
        <v>11073.6</v>
      </c>
      <c r="P32" s="58">
        <f>'2016'!Q33</f>
        <v>4250</v>
      </c>
      <c r="Q32" s="94">
        <f>'2016'!R33</f>
        <v>16800.915300000001</v>
      </c>
    </row>
    <row r="33" spans="2:17" ht="30" hidden="1">
      <c r="B33" s="44" t="s">
        <v>86</v>
      </c>
      <c r="C33" s="29">
        <v>50</v>
      </c>
      <c r="D33" s="29">
        <v>70</v>
      </c>
      <c r="E33" s="29">
        <v>40</v>
      </c>
      <c r="F33" s="30">
        <v>21654.442999999999</v>
      </c>
      <c r="G33" s="30">
        <v>22099.599999999999</v>
      </c>
      <c r="H33" s="30">
        <v>23383.363000000001</v>
      </c>
      <c r="I33" s="30">
        <v>175.77600000000001</v>
      </c>
      <c r="J33" s="30">
        <v>203.9</v>
      </c>
      <c r="K33" s="30">
        <v>185.06399999999999</v>
      </c>
      <c r="L33" s="30">
        <v>149.15</v>
      </c>
      <c r="M33" s="30">
        <v>226.9</v>
      </c>
      <c r="N33" s="30">
        <v>3400.85</v>
      </c>
      <c r="O33" s="30"/>
      <c r="P33" s="30"/>
      <c r="Q33" s="94"/>
    </row>
    <row r="34" spans="2:17" ht="18">
      <c r="B34" s="47" t="s">
        <v>80</v>
      </c>
      <c r="C34" s="29"/>
      <c r="D34" s="29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>
        <f>'2016'!P35</f>
        <v>6750.2</v>
      </c>
      <c r="P34" s="30">
        <f>'2016'!Q35</f>
        <v>15275.1</v>
      </c>
      <c r="Q34" s="94">
        <f>'2016'!R35</f>
        <v>6338.5524000000023</v>
      </c>
    </row>
    <row r="35" spans="2:17" ht="30" hidden="1">
      <c r="B35" s="44" t="s">
        <v>86</v>
      </c>
      <c r="C35" s="29">
        <v>30</v>
      </c>
      <c r="D35" s="29">
        <v>0</v>
      </c>
      <c r="E35" s="29">
        <v>0</v>
      </c>
      <c r="F35" s="30">
        <v>21654.442999999999</v>
      </c>
      <c r="G35" s="30">
        <v>22099.599999999999</v>
      </c>
      <c r="H35" s="30">
        <v>23383.363000000001</v>
      </c>
      <c r="I35" s="30">
        <v>175.77600000000001</v>
      </c>
      <c r="J35" s="30">
        <v>203.9</v>
      </c>
      <c r="K35" s="30">
        <v>185.06399999999999</v>
      </c>
      <c r="L35" s="30">
        <v>149.15</v>
      </c>
      <c r="M35" s="30">
        <v>226.9</v>
      </c>
      <c r="N35" s="30">
        <v>3400.85</v>
      </c>
      <c r="O35" s="30"/>
      <c r="P35" s="30"/>
      <c r="Q35" s="94"/>
    </row>
    <row r="36" spans="2:17" ht="18" hidden="1">
      <c r="B36" s="44" t="s">
        <v>88</v>
      </c>
      <c r="C36" s="29">
        <v>90</v>
      </c>
      <c r="D36" s="29">
        <v>80</v>
      </c>
      <c r="E36" s="29">
        <v>50</v>
      </c>
      <c r="F36" s="30">
        <v>10987.71</v>
      </c>
      <c r="G36" s="30">
        <v>2114.6999999999998</v>
      </c>
      <c r="H36" s="30">
        <v>3021.3510000000001</v>
      </c>
      <c r="I36" s="30">
        <v>112.488</v>
      </c>
      <c r="J36" s="30">
        <v>159.69999999999999</v>
      </c>
      <c r="K36" s="30">
        <v>81.521000000000001</v>
      </c>
      <c r="L36" s="30">
        <v>112.488</v>
      </c>
      <c r="M36" s="30">
        <v>159.69999999999999</v>
      </c>
      <c r="N36" s="30">
        <v>81.521000000000001</v>
      </c>
      <c r="O36" s="30"/>
      <c r="P36" s="30"/>
      <c r="Q36" s="94"/>
    </row>
    <row r="37" spans="2:17" ht="18">
      <c r="B37" s="47" t="s">
        <v>81</v>
      </c>
      <c r="C37" s="29"/>
      <c r="D37" s="29"/>
      <c r="E37" s="29"/>
      <c r="F37" s="30"/>
      <c r="G37" s="30"/>
      <c r="H37" s="30"/>
      <c r="I37" s="30"/>
      <c r="J37" s="30"/>
      <c r="K37" s="30"/>
      <c r="L37" s="30"/>
      <c r="M37" s="30"/>
      <c r="N37" s="30"/>
      <c r="O37" s="30">
        <f>'2016'!P38</f>
        <v>0</v>
      </c>
      <c r="P37" s="30">
        <f>'2016'!Q38</f>
        <v>6000.2</v>
      </c>
      <c r="Q37" s="94">
        <f>'2016'!R38</f>
        <v>980.82250000000022</v>
      </c>
    </row>
    <row r="38" spans="2:17" ht="30" hidden="1">
      <c r="B38" s="44" t="s">
        <v>86</v>
      </c>
      <c r="C38" s="29">
        <v>10</v>
      </c>
      <c r="D38" s="29">
        <v>0</v>
      </c>
      <c r="E38" s="29">
        <v>20</v>
      </c>
      <c r="F38" s="30">
        <v>21654.442999999999</v>
      </c>
      <c r="G38" s="30">
        <v>22099.599999999999</v>
      </c>
      <c r="H38" s="30">
        <v>23383.363000000001</v>
      </c>
      <c r="I38" s="30">
        <v>175.77600000000001</v>
      </c>
      <c r="J38" s="30">
        <v>203.9</v>
      </c>
      <c r="K38" s="30">
        <v>185.06399999999999</v>
      </c>
      <c r="L38" s="30">
        <v>149.15</v>
      </c>
      <c r="M38" s="30">
        <v>226.9</v>
      </c>
      <c r="N38" s="30">
        <v>3400.85</v>
      </c>
      <c r="O38" s="30"/>
      <c r="P38" s="30"/>
      <c r="Q38" s="94"/>
    </row>
    <row r="39" spans="2:17" ht="18">
      <c r="B39" s="47" t="s">
        <v>82</v>
      </c>
      <c r="C39" s="29"/>
      <c r="D39" s="29"/>
      <c r="E39" s="29"/>
      <c r="F39" s="30"/>
      <c r="G39" s="30"/>
      <c r="H39" s="30"/>
      <c r="I39" s="30"/>
      <c r="J39" s="30"/>
      <c r="K39" s="30"/>
      <c r="L39" s="30"/>
      <c r="M39" s="30"/>
      <c r="N39" s="30"/>
      <c r="O39" s="30">
        <f>'2016'!P40</f>
        <v>0</v>
      </c>
      <c r="P39" s="30">
        <f>'2016'!Q40</f>
        <v>0</v>
      </c>
      <c r="Q39" s="94">
        <f>'2016'!R40</f>
        <v>5973.3828999999996</v>
      </c>
    </row>
    <row r="40" spans="2:17" ht="30" hidden="1">
      <c r="B40" s="44" t="s">
        <v>86</v>
      </c>
      <c r="C40" s="29">
        <v>10</v>
      </c>
      <c r="D40" s="29">
        <v>10</v>
      </c>
      <c r="E40" s="29">
        <v>0</v>
      </c>
      <c r="F40" s="30">
        <v>21654.442999999999</v>
      </c>
      <c r="G40" s="30">
        <v>22099.599999999999</v>
      </c>
      <c r="H40" s="30">
        <v>23383.363000000001</v>
      </c>
      <c r="I40" s="30">
        <v>175.77600000000001</v>
      </c>
      <c r="J40" s="30">
        <v>203.9</v>
      </c>
      <c r="K40" s="30">
        <v>185.06399999999999</v>
      </c>
      <c r="L40" s="30">
        <v>149.15</v>
      </c>
      <c r="M40" s="30">
        <v>226.9</v>
      </c>
      <c r="N40" s="30">
        <v>3400.85</v>
      </c>
      <c r="O40" s="30"/>
      <c r="P40" s="30"/>
      <c r="Q40" s="94"/>
    </row>
    <row r="41" spans="2:17" ht="18">
      <c r="B41" s="47" t="s">
        <v>83</v>
      </c>
      <c r="C41" s="29"/>
      <c r="D41" s="29"/>
      <c r="E41" s="29"/>
      <c r="F41" s="30"/>
      <c r="G41" s="30"/>
      <c r="H41" s="30"/>
      <c r="I41" s="30"/>
      <c r="J41" s="30"/>
      <c r="K41" s="30"/>
      <c r="L41" s="30"/>
      <c r="M41" s="30"/>
      <c r="N41" s="30"/>
      <c r="O41" s="30">
        <f>'2016'!P42</f>
        <v>1249.3</v>
      </c>
      <c r="P41" s="30">
        <f>'2016'!Q42</f>
        <v>0</v>
      </c>
      <c r="Q41" s="94">
        <f>'2016'!R42</f>
        <v>3340.2987999999996</v>
      </c>
    </row>
    <row r="42" spans="2:17" ht="30" hidden="1">
      <c r="B42" s="44" t="s">
        <v>87</v>
      </c>
      <c r="C42" s="29">
        <v>70</v>
      </c>
      <c r="D42" s="29">
        <v>40</v>
      </c>
      <c r="E42" s="29">
        <v>50</v>
      </c>
      <c r="F42" s="30">
        <v>3300.9940000000001</v>
      </c>
      <c r="G42" s="30">
        <v>1655</v>
      </c>
      <c r="H42" s="30">
        <v>1230.6420000000001</v>
      </c>
      <c r="I42" s="30">
        <v>205.66300000000001</v>
      </c>
      <c r="J42" s="30">
        <v>227</v>
      </c>
      <c r="K42" s="30">
        <v>160.05199999999999</v>
      </c>
      <c r="L42" s="30">
        <v>0</v>
      </c>
      <c r="M42" s="30">
        <v>0</v>
      </c>
      <c r="N42" s="30">
        <v>0</v>
      </c>
      <c r="O42" s="30"/>
      <c r="P42" s="30"/>
      <c r="Q42" s="94"/>
    </row>
    <row r="43" spans="2:17" ht="18">
      <c r="B43" s="47" t="s">
        <v>84</v>
      </c>
      <c r="C43" s="29"/>
      <c r="D43" s="29"/>
      <c r="E43" s="29"/>
      <c r="F43" s="30"/>
      <c r="G43" s="30"/>
      <c r="H43" s="30"/>
      <c r="I43" s="30"/>
      <c r="J43" s="30"/>
      <c r="K43" s="30"/>
      <c r="L43" s="30"/>
      <c r="M43" s="30"/>
      <c r="N43" s="30"/>
      <c r="O43" s="30">
        <f>'2016'!P44</f>
        <v>601.20000000000005</v>
      </c>
      <c r="P43" s="30">
        <f>'2016'!Q44</f>
        <v>0</v>
      </c>
      <c r="Q43" s="94">
        <f>'2016'!R44</f>
        <v>1389.1777999999997</v>
      </c>
    </row>
    <row r="44" spans="2:17" ht="30" hidden="1">
      <c r="B44" s="44" t="s">
        <v>87</v>
      </c>
      <c r="C44" s="29">
        <v>30</v>
      </c>
      <c r="D44" s="29">
        <v>20</v>
      </c>
      <c r="E44" s="29">
        <v>50</v>
      </c>
      <c r="F44" s="30">
        <v>3300.9940000000001</v>
      </c>
      <c r="G44" s="30">
        <v>1655</v>
      </c>
      <c r="H44" s="30">
        <v>1230.6420000000001</v>
      </c>
      <c r="I44" s="30">
        <v>205.66300000000001</v>
      </c>
      <c r="J44" s="30">
        <v>227</v>
      </c>
      <c r="K44" s="30">
        <v>160.05199999999999</v>
      </c>
      <c r="L44" s="30">
        <v>0</v>
      </c>
      <c r="M44" s="30">
        <v>0</v>
      </c>
      <c r="N44" s="30">
        <v>0</v>
      </c>
      <c r="O44" s="30"/>
      <c r="P44" s="30"/>
      <c r="Q44" s="94"/>
    </row>
    <row r="45" spans="2:17" ht="18">
      <c r="B45" s="47" t="s">
        <v>85</v>
      </c>
      <c r="C45" s="29"/>
      <c r="D45" s="29"/>
      <c r="E45" s="29"/>
      <c r="F45" s="30"/>
      <c r="G45" s="30"/>
      <c r="H45" s="30"/>
      <c r="I45" s="30"/>
      <c r="J45" s="30"/>
      <c r="K45" s="30"/>
      <c r="L45" s="30"/>
      <c r="M45" s="30"/>
      <c r="N45" s="30"/>
      <c r="O45" s="30">
        <f>'2016'!P46</f>
        <v>0</v>
      </c>
      <c r="P45" s="30">
        <f>'2016'!Q46</f>
        <v>0</v>
      </c>
      <c r="Q45" s="94">
        <f>'2016'!R46</f>
        <v>1731.4166</v>
      </c>
    </row>
    <row r="46" spans="2:17" ht="30" hidden="1">
      <c r="B46" s="44" t="s">
        <v>86</v>
      </c>
      <c r="C46" s="29">
        <v>0</v>
      </c>
      <c r="D46" s="29">
        <v>0</v>
      </c>
      <c r="E46" s="29">
        <v>10</v>
      </c>
      <c r="F46" s="30">
        <v>21654.442999999999</v>
      </c>
      <c r="G46" s="30">
        <v>22099.599999999999</v>
      </c>
      <c r="H46" s="30">
        <v>23383.363000000001</v>
      </c>
      <c r="I46" s="30">
        <v>175.77600000000001</v>
      </c>
      <c r="J46" s="30">
        <v>203.9</v>
      </c>
      <c r="K46" s="30">
        <v>185.06399999999999</v>
      </c>
      <c r="L46" s="30">
        <v>149.15</v>
      </c>
      <c r="M46" s="30">
        <v>226.9</v>
      </c>
      <c r="N46" s="30">
        <v>3400.85</v>
      </c>
      <c r="O46" s="30"/>
      <c r="P46" s="30"/>
      <c r="Q46" s="94"/>
    </row>
    <row r="47" spans="2:17" ht="18" hidden="1">
      <c r="B47" s="44" t="s">
        <v>88</v>
      </c>
      <c r="C47" s="29">
        <v>10</v>
      </c>
      <c r="D47" s="29">
        <v>20</v>
      </c>
      <c r="E47" s="29">
        <v>0</v>
      </c>
      <c r="F47" s="30">
        <v>10987.71</v>
      </c>
      <c r="G47" s="30">
        <v>2114.6999999999998</v>
      </c>
      <c r="H47" s="30">
        <v>3021.3510000000001</v>
      </c>
      <c r="I47" s="30">
        <v>112.488</v>
      </c>
      <c r="J47" s="30">
        <v>159.69999999999999</v>
      </c>
      <c r="K47" s="30">
        <v>81.521000000000001</v>
      </c>
      <c r="L47" s="30">
        <v>112.488</v>
      </c>
      <c r="M47" s="30">
        <v>159.69999999999999</v>
      </c>
      <c r="N47" s="30">
        <v>81.521000000000001</v>
      </c>
      <c r="O47" s="30"/>
      <c r="P47" s="30"/>
      <c r="Q47" s="94"/>
    </row>
    <row r="48" spans="2:17" ht="18">
      <c r="B48" s="47" t="s">
        <v>89</v>
      </c>
      <c r="C48" s="35"/>
      <c r="D48" s="35"/>
      <c r="E48" s="35"/>
      <c r="F48" s="49"/>
      <c r="G48" s="49"/>
      <c r="H48" s="49"/>
      <c r="I48" s="49"/>
      <c r="J48" s="49"/>
      <c r="K48" s="49"/>
      <c r="L48" s="49"/>
      <c r="M48" s="49"/>
      <c r="N48" s="49"/>
      <c r="O48" s="30">
        <v>0</v>
      </c>
      <c r="P48" s="30">
        <v>0</v>
      </c>
      <c r="Q48" s="94">
        <f>'2016'!R49</f>
        <v>121.16079999999999</v>
      </c>
    </row>
    <row r="49" spans="2:17" ht="30" hidden="1">
      <c r="B49" s="44" t="s">
        <v>86</v>
      </c>
      <c r="C49" s="29">
        <v>0</v>
      </c>
      <c r="D49" s="29">
        <v>20</v>
      </c>
      <c r="E49" s="29">
        <v>0</v>
      </c>
      <c r="F49" s="30">
        <v>21654.442999999999</v>
      </c>
      <c r="G49" s="30">
        <v>22099.599999999999</v>
      </c>
      <c r="H49" s="30">
        <v>23383.363000000001</v>
      </c>
      <c r="I49" s="30">
        <v>175.77600000000001</v>
      </c>
      <c r="J49" s="30">
        <v>203.9</v>
      </c>
      <c r="K49" s="30">
        <v>185.06399999999999</v>
      </c>
      <c r="L49" s="30">
        <v>149.15</v>
      </c>
      <c r="M49" s="30">
        <v>226.9</v>
      </c>
      <c r="N49" s="30">
        <v>3400.85</v>
      </c>
      <c r="O49" s="30"/>
      <c r="P49" s="30"/>
      <c r="Q49" s="94"/>
    </row>
    <row r="50" spans="2:17" ht="18">
      <c r="B50" s="47" t="s">
        <v>90</v>
      </c>
      <c r="C50" s="29"/>
      <c r="D50" s="29"/>
      <c r="E50" s="29"/>
      <c r="F50" s="30"/>
      <c r="G50" s="30"/>
      <c r="H50" s="30"/>
      <c r="I50" s="30"/>
      <c r="J50" s="30"/>
      <c r="K50" s="30"/>
      <c r="L50" s="30"/>
      <c r="M50" s="30"/>
      <c r="N50" s="30"/>
      <c r="O50" s="30">
        <v>0</v>
      </c>
      <c r="P50" s="30">
        <v>0</v>
      </c>
      <c r="Q50" s="94">
        <f>'2016'!R51</f>
        <v>163.84819999999999</v>
      </c>
    </row>
    <row r="51" spans="2:17" ht="30" hidden="1">
      <c r="B51" s="44" t="s">
        <v>87</v>
      </c>
      <c r="C51" s="29">
        <v>0</v>
      </c>
      <c r="D51" s="29">
        <v>20</v>
      </c>
      <c r="E51" s="29">
        <v>0</v>
      </c>
      <c r="F51" s="30">
        <v>3300.9940000000001</v>
      </c>
      <c r="G51" s="30">
        <v>1655</v>
      </c>
      <c r="H51" s="30">
        <v>1230.6420000000001</v>
      </c>
      <c r="I51" s="30">
        <v>205.66300000000001</v>
      </c>
      <c r="J51" s="30">
        <v>227</v>
      </c>
      <c r="K51" s="30">
        <v>160.05199999999999</v>
      </c>
      <c r="L51" s="30">
        <v>0</v>
      </c>
      <c r="M51" s="30">
        <v>0</v>
      </c>
      <c r="N51" s="30">
        <v>0</v>
      </c>
      <c r="O51" s="30"/>
      <c r="P51" s="30"/>
      <c r="Q51" s="94"/>
    </row>
    <row r="52" spans="2:17" ht="18">
      <c r="B52" s="47" t="s">
        <v>91</v>
      </c>
      <c r="C52" s="29"/>
      <c r="D52" s="29"/>
      <c r="E52" s="29"/>
      <c r="F52" s="30"/>
      <c r="G52" s="30"/>
      <c r="H52" s="30"/>
      <c r="I52" s="30"/>
      <c r="J52" s="30"/>
      <c r="K52" s="30"/>
      <c r="L52" s="30"/>
      <c r="M52" s="30"/>
      <c r="N52" s="30"/>
      <c r="O52" s="30">
        <v>0</v>
      </c>
      <c r="P52" s="30">
        <v>0</v>
      </c>
      <c r="Q52" s="94">
        <f>'2016'!R53</f>
        <v>81.924099999999996</v>
      </c>
    </row>
    <row r="53" spans="2:17" ht="30" hidden="1">
      <c r="B53" s="44" t="s">
        <v>87</v>
      </c>
      <c r="C53" s="29">
        <v>0</v>
      </c>
      <c r="D53" s="29">
        <v>10</v>
      </c>
      <c r="E53" s="29">
        <v>0</v>
      </c>
      <c r="F53" s="30">
        <v>3300.9940000000001</v>
      </c>
      <c r="G53" s="30">
        <v>1655</v>
      </c>
      <c r="H53" s="30">
        <v>1230.6420000000001</v>
      </c>
      <c r="I53" s="30">
        <v>205.66300000000001</v>
      </c>
      <c r="J53" s="30">
        <v>227</v>
      </c>
      <c r="K53" s="30">
        <v>160.05199999999999</v>
      </c>
      <c r="L53" s="30">
        <v>0</v>
      </c>
      <c r="M53" s="30">
        <v>0</v>
      </c>
      <c r="N53" s="30">
        <v>0</v>
      </c>
      <c r="O53" s="30"/>
      <c r="P53" s="30"/>
      <c r="Q53" s="94"/>
    </row>
    <row r="54" spans="2:17" ht="18">
      <c r="B54" s="47" t="s">
        <v>92</v>
      </c>
      <c r="C54" s="29"/>
      <c r="D54" s="29"/>
      <c r="E54" s="29"/>
      <c r="F54" s="30"/>
      <c r="G54" s="30"/>
      <c r="H54" s="30"/>
      <c r="I54" s="30"/>
      <c r="J54" s="30"/>
      <c r="K54" s="30"/>
      <c r="L54" s="30"/>
      <c r="M54" s="30"/>
      <c r="N54" s="30"/>
      <c r="O54" s="30">
        <v>0</v>
      </c>
      <c r="P54" s="30">
        <v>0</v>
      </c>
      <c r="Q54" s="94">
        <f>'2016'!R55</f>
        <v>81.924099999999996</v>
      </c>
    </row>
    <row r="55" spans="2:17" ht="30" hidden="1">
      <c r="B55" s="44" t="s">
        <v>87</v>
      </c>
      <c r="C55" s="29">
        <v>0</v>
      </c>
      <c r="D55" s="29">
        <v>10</v>
      </c>
      <c r="E55" s="29">
        <v>0</v>
      </c>
      <c r="F55" s="30">
        <v>3300.9940000000001</v>
      </c>
      <c r="G55" s="30">
        <v>1655</v>
      </c>
      <c r="H55" s="30">
        <v>1230.6420000000001</v>
      </c>
      <c r="I55" s="30">
        <v>205.66300000000001</v>
      </c>
      <c r="J55" s="30">
        <v>227</v>
      </c>
      <c r="K55" s="30">
        <v>160.05199999999999</v>
      </c>
      <c r="L55" s="30">
        <v>0</v>
      </c>
      <c r="M55" s="30">
        <v>0</v>
      </c>
      <c r="N55" s="30">
        <v>0</v>
      </c>
      <c r="O55" s="30"/>
      <c r="P55" s="30"/>
      <c r="Q55" s="94"/>
    </row>
    <row r="56" spans="2:17" ht="18">
      <c r="B56" s="47" t="s">
        <v>93</v>
      </c>
      <c r="C56" s="35"/>
      <c r="D56" s="35"/>
      <c r="E56" s="35"/>
      <c r="F56" s="49"/>
      <c r="G56" s="49"/>
      <c r="H56" s="49"/>
      <c r="I56" s="49"/>
      <c r="J56" s="49"/>
      <c r="K56" s="49"/>
      <c r="L56" s="49"/>
      <c r="M56" s="49"/>
      <c r="N56" s="49"/>
      <c r="O56" s="30">
        <v>0</v>
      </c>
      <c r="P56" s="30">
        <v>0</v>
      </c>
      <c r="Q56" s="94">
        <f>'2016'!R57</f>
        <v>1068.22</v>
      </c>
    </row>
    <row r="57" spans="2:17" ht="30" hidden="1">
      <c r="B57" s="44" t="s">
        <v>86</v>
      </c>
      <c r="C57" s="29">
        <v>0</v>
      </c>
      <c r="D57" s="29">
        <v>0</v>
      </c>
      <c r="E57" s="29">
        <v>20</v>
      </c>
      <c r="F57" s="30">
        <v>21654.442999999999</v>
      </c>
      <c r="G57" s="30">
        <v>22099.599999999999</v>
      </c>
      <c r="H57" s="30">
        <v>23383.363000000001</v>
      </c>
      <c r="I57" s="30">
        <v>175.77600000000001</v>
      </c>
      <c r="J57" s="30">
        <v>203.9</v>
      </c>
      <c r="K57" s="30">
        <v>185.06399999999999</v>
      </c>
      <c r="L57" s="30">
        <v>149.15</v>
      </c>
      <c r="M57" s="30">
        <v>226.9</v>
      </c>
      <c r="N57" s="30">
        <v>3400.85</v>
      </c>
      <c r="O57" s="30"/>
      <c r="P57" s="30"/>
      <c r="Q57" s="94"/>
    </row>
    <row r="58" spans="2:17" ht="18">
      <c r="B58" s="47" t="s">
        <v>94</v>
      </c>
      <c r="C58" s="35"/>
      <c r="D58" s="35"/>
      <c r="E58" s="35"/>
      <c r="F58" s="49"/>
      <c r="G58" s="49"/>
      <c r="H58" s="49"/>
      <c r="I58" s="49"/>
      <c r="J58" s="49"/>
      <c r="K58" s="49"/>
      <c r="L58" s="49"/>
      <c r="M58" s="49"/>
      <c r="N58" s="49"/>
      <c r="O58" s="30">
        <v>0</v>
      </c>
      <c r="P58" s="30">
        <v>0</v>
      </c>
      <c r="Q58" s="94">
        <f>'2016'!R59</f>
        <v>534.11</v>
      </c>
    </row>
    <row r="59" spans="2:17" ht="30" hidden="1">
      <c r="B59" s="44" t="s">
        <v>86</v>
      </c>
      <c r="C59" s="29">
        <v>0</v>
      </c>
      <c r="D59" s="29">
        <v>0</v>
      </c>
      <c r="E59" s="29">
        <v>10</v>
      </c>
      <c r="F59" s="30">
        <v>21654.442999999999</v>
      </c>
      <c r="G59" s="30">
        <v>22099.599999999999</v>
      </c>
      <c r="H59" s="30">
        <v>23383.363000000001</v>
      </c>
      <c r="I59" s="30">
        <v>175.77600000000001</v>
      </c>
      <c r="J59" s="30">
        <v>203.9</v>
      </c>
      <c r="K59" s="30">
        <v>185.06399999999999</v>
      </c>
      <c r="L59" s="30">
        <v>149.15</v>
      </c>
      <c r="M59" s="30">
        <v>226.9</v>
      </c>
      <c r="N59" s="30">
        <v>3400.85</v>
      </c>
      <c r="O59" s="30"/>
      <c r="P59" s="30"/>
      <c r="Q59" s="95"/>
    </row>
    <row r="60" spans="2:17" ht="18.600000000000001" thickBot="1">
      <c r="B60" s="47" t="s">
        <v>95</v>
      </c>
      <c r="C60" s="35"/>
      <c r="D60" s="35"/>
      <c r="E60" s="35"/>
      <c r="F60" s="49"/>
      <c r="G60" s="49"/>
      <c r="H60" s="49"/>
      <c r="I60" s="49"/>
      <c r="J60" s="49"/>
      <c r="K60" s="49"/>
      <c r="L60" s="49"/>
      <c r="M60" s="49"/>
      <c r="N60" s="49"/>
      <c r="O60" s="30">
        <v>0</v>
      </c>
      <c r="P60" s="30">
        <v>0</v>
      </c>
      <c r="Q60" s="96">
        <f>'2016'!R61</f>
        <v>163.2165</v>
      </c>
    </row>
    <row r="61" spans="2:17" ht="18.600000000000001" hidden="1" thickBot="1">
      <c r="B61" s="48" t="s">
        <v>88</v>
      </c>
      <c r="C61" s="40">
        <v>0</v>
      </c>
      <c r="D61" s="40">
        <v>0</v>
      </c>
      <c r="E61" s="40">
        <v>50</v>
      </c>
      <c r="F61" s="57">
        <v>10987.71</v>
      </c>
      <c r="G61" s="57">
        <v>2114.6999999999998</v>
      </c>
      <c r="H61" s="57">
        <v>3021.3510000000001</v>
      </c>
      <c r="I61" s="57">
        <v>112.488</v>
      </c>
      <c r="J61" s="57">
        <v>159.69999999999999</v>
      </c>
      <c r="K61" s="57">
        <v>81.521000000000001</v>
      </c>
      <c r="L61" s="57">
        <v>112.488</v>
      </c>
      <c r="M61" s="57">
        <v>159.69999999999999</v>
      </c>
      <c r="N61" s="57">
        <v>81.521000000000001</v>
      </c>
      <c r="O61" s="57"/>
      <c r="P61" s="57"/>
      <c r="Q61" s="187"/>
    </row>
    <row r="62" spans="2:17" ht="21" thickBot="1">
      <c r="B62" s="61" t="s">
        <v>96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69">
        <f>O63</f>
        <v>0</v>
      </c>
      <c r="P62" s="69">
        <f>P63</f>
        <v>5233.7</v>
      </c>
      <c r="Q62" s="188">
        <f>Q63</f>
        <v>7159.1299999999983</v>
      </c>
    </row>
    <row r="63" spans="2:17" ht="18.600000000000001" thickBot="1">
      <c r="B63" s="60" t="s">
        <v>97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58">
        <f>'2016'!P64</f>
        <v>0</v>
      </c>
      <c r="P63" s="58">
        <f>'2016'!Q64</f>
        <v>5233.7</v>
      </c>
      <c r="Q63" s="94">
        <f>'2016'!R64</f>
        <v>7159.1299999999983</v>
      </c>
    </row>
    <row r="64" spans="2:17" ht="18.600000000000001" hidden="1" thickBot="1">
      <c r="B64" s="44" t="s">
        <v>98</v>
      </c>
      <c r="C64" s="29">
        <v>100</v>
      </c>
      <c r="D64" s="29">
        <v>100</v>
      </c>
      <c r="E64" s="29">
        <v>100</v>
      </c>
      <c r="F64" s="37">
        <v>276</v>
      </c>
      <c r="G64" s="37">
        <v>114.3</v>
      </c>
      <c r="H64" s="37">
        <v>105</v>
      </c>
      <c r="I64" s="37">
        <v>4401</v>
      </c>
      <c r="J64" s="37">
        <v>3320</v>
      </c>
      <c r="K64" s="37">
        <v>4395.8</v>
      </c>
      <c r="L64" s="30">
        <v>0</v>
      </c>
      <c r="M64" s="30">
        <v>0</v>
      </c>
      <c r="N64" s="30">
        <v>0</v>
      </c>
      <c r="O64" s="30"/>
      <c r="P64" s="30"/>
      <c r="Q64" s="95"/>
    </row>
    <row r="65" spans="2:17" ht="18.600000000000001" hidden="1" thickBot="1">
      <c r="B65" s="48" t="s">
        <v>99</v>
      </c>
      <c r="C65" s="40">
        <v>0</v>
      </c>
      <c r="D65" s="40">
        <v>10</v>
      </c>
      <c r="E65" s="40">
        <v>0</v>
      </c>
      <c r="F65" s="70">
        <v>1682.5</v>
      </c>
      <c r="G65" s="70">
        <v>3080.4</v>
      </c>
      <c r="H65" s="70">
        <v>1693</v>
      </c>
      <c r="I65" s="70">
        <v>1218</v>
      </c>
      <c r="J65" s="70">
        <v>2451.6</v>
      </c>
      <c r="K65" s="70">
        <v>1360.6</v>
      </c>
      <c r="L65" s="57">
        <v>0</v>
      </c>
      <c r="M65" s="57">
        <v>0</v>
      </c>
      <c r="N65" s="57">
        <v>0</v>
      </c>
      <c r="O65" s="57"/>
      <c r="P65" s="57"/>
      <c r="Q65" s="187"/>
    </row>
    <row r="66" spans="2:17" ht="21" thickBot="1">
      <c r="B66" s="61" t="s">
        <v>100</v>
      </c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69">
        <f>SUM(O67:O73)</f>
        <v>2612</v>
      </c>
      <c r="P66" s="69">
        <f>SUM(P67:P73)</f>
        <v>3230.6</v>
      </c>
      <c r="Q66" s="188">
        <f>SUM(Q67:Q73)</f>
        <v>1214.569</v>
      </c>
    </row>
    <row r="67" spans="2:17" ht="18">
      <c r="B67" s="60" t="s">
        <v>101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58">
        <f>'2016'!P68</f>
        <v>0</v>
      </c>
      <c r="P67" s="58">
        <f>'2016'!Q68</f>
        <v>1249.5</v>
      </c>
      <c r="Q67" s="96">
        <v>0</v>
      </c>
    </row>
    <row r="68" spans="2:17" ht="18" hidden="1">
      <c r="B68" s="50" t="s">
        <v>104</v>
      </c>
      <c r="C68" s="29">
        <v>100</v>
      </c>
      <c r="D68" s="29">
        <v>50</v>
      </c>
      <c r="E68" s="29">
        <v>100</v>
      </c>
      <c r="F68" s="37">
        <v>30.9</v>
      </c>
      <c r="G68" s="37">
        <v>0</v>
      </c>
      <c r="H68" s="37">
        <v>0</v>
      </c>
      <c r="I68" s="37">
        <v>967.1</v>
      </c>
      <c r="J68" s="37">
        <v>0</v>
      </c>
      <c r="K68" s="37">
        <v>1470</v>
      </c>
      <c r="L68" s="38">
        <v>0</v>
      </c>
      <c r="M68" s="38">
        <v>0</v>
      </c>
      <c r="N68" s="38">
        <v>0</v>
      </c>
      <c r="O68" s="30"/>
      <c r="P68" s="30"/>
      <c r="Q68" s="95"/>
    </row>
    <row r="69" spans="2:17" ht="18" hidden="1">
      <c r="B69" s="50" t="s">
        <v>106</v>
      </c>
      <c r="C69" s="29">
        <v>100</v>
      </c>
      <c r="D69" s="29">
        <v>70</v>
      </c>
      <c r="E69" s="29">
        <v>100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0"/>
      <c r="P69" s="30"/>
      <c r="Q69" s="95"/>
    </row>
    <row r="70" spans="2:17" ht="18">
      <c r="B70" s="47" t="s">
        <v>102</v>
      </c>
      <c r="C70" s="29"/>
      <c r="D70" s="29"/>
      <c r="E70" s="29"/>
      <c r="F70" s="38"/>
      <c r="G70" s="38"/>
      <c r="H70" s="38"/>
      <c r="I70" s="38"/>
      <c r="J70" s="38"/>
      <c r="K70" s="38"/>
      <c r="L70" s="38"/>
      <c r="M70" s="38"/>
      <c r="N70" s="38"/>
      <c r="O70" s="30">
        <f>'2016'!P71</f>
        <v>0</v>
      </c>
      <c r="P70" s="30">
        <f>'2016'!Q71</f>
        <v>1211</v>
      </c>
      <c r="Q70" s="96">
        <v>0</v>
      </c>
    </row>
    <row r="71" spans="2:17" ht="18" hidden="1">
      <c r="B71" s="50" t="s">
        <v>104</v>
      </c>
      <c r="C71" s="29">
        <v>0</v>
      </c>
      <c r="D71" s="29">
        <v>50</v>
      </c>
      <c r="E71" s="29">
        <v>0</v>
      </c>
      <c r="F71" s="37">
        <v>30.9</v>
      </c>
      <c r="G71" s="38">
        <v>0</v>
      </c>
      <c r="H71" s="38">
        <v>0</v>
      </c>
      <c r="I71" s="37">
        <v>967.1</v>
      </c>
      <c r="J71" s="38">
        <v>0</v>
      </c>
      <c r="K71" s="37">
        <v>1470</v>
      </c>
      <c r="L71" s="38">
        <v>0</v>
      </c>
      <c r="M71" s="38">
        <v>0</v>
      </c>
      <c r="N71" s="38">
        <v>0</v>
      </c>
      <c r="O71" s="30"/>
      <c r="P71" s="30"/>
      <c r="Q71" s="95"/>
    </row>
    <row r="72" spans="2:17" ht="18" hidden="1">
      <c r="B72" s="50" t="s">
        <v>106</v>
      </c>
      <c r="C72" s="29">
        <v>0</v>
      </c>
      <c r="D72" s="29">
        <v>30</v>
      </c>
      <c r="E72" s="29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0"/>
      <c r="P72" s="30"/>
      <c r="Q72" s="95"/>
    </row>
    <row r="73" spans="2:17" ht="18.600000000000001" thickBot="1">
      <c r="B73" s="47" t="s">
        <v>103</v>
      </c>
      <c r="C73" s="29"/>
      <c r="D73" s="29"/>
      <c r="E73" s="29"/>
      <c r="F73" s="38"/>
      <c r="G73" s="38"/>
      <c r="H73" s="38"/>
      <c r="I73" s="38"/>
      <c r="J73" s="38"/>
      <c r="K73" s="38"/>
      <c r="L73" s="38"/>
      <c r="M73" s="38"/>
      <c r="N73" s="38"/>
      <c r="O73" s="30">
        <f>'2016'!P74</f>
        <v>2612</v>
      </c>
      <c r="P73" s="30">
        <f>'2016'!Q74</f>
        <v>770.1</v>
      </c>
      <c r="Q73" s="96">
        <f>'2016'!R74</f>
        <v>1214.569</v>
      </c>
    </row>
    <row r="74" spans="2:17" ht="18.600000000000001" hidden="1" thickBot="1">
      <c r="B74" s="50" t="s">
        <v>105</v>
      </c>
      <c r="C74" s="29">
        <v>100</v>
      </c>
      <c r="D74" s="29">
        <v>100</v>
      </c>
      <c r="E74" s="29">
        <v>100</v>
      </c>
      <c r="F74" s="38">
        <v>0</v>
      </c>
      <c r="G74" s="38">
        <v>0</v>
      </c>
      <c r="H74" s="38">
        <v>0</v>
      </c>
      <c r="I74" s="37">
        <v>850</v>
      </c>
      <c r="J74" s="37">
        <v>2000</v>
      </c>
      <c r="K74" s="37">
        <v>910</v>
      </c>
      <c r="L74" s="38">
        <v>0</v>
      </c>
      <c r="M74" s="38">
        <v>0</v>
      </c>
      <c r="N74" s="38">
        <v>0</v>
      </c>
      <c r="O74" s="30"/>
      <c r="P74" s="30"/>
      <c r="Q74" s="95"/>
    </row>
    <row r="75" spans="2:17" ht="18.600000000000001" hidden="1" thickBot="1">
      <c r="B75" s="73" t="s">
        <v>107</v>
      </c>
      <c r="C75" s="40">
        <v>100</v>
      </c>
      <c r="D75" s="40">
        <v>100</v>
      </c>
      <c r="E75" s="40">
        <v>100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57"/>
      <c r="P75" s="57"/>
      <c r="Q75" s="187"/>
    </row>
    <row r="76" spans="2:17" ht="21" thickBot="1">
      <c r="B76" s="61" t="s">
        <v>108</v>
      </c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69">
        <f>O77</f>
        <v>0</v>
      </c>
      <c r="P76" s="69">
        <f>P77</f>
        <v>7244.1</v>
      </c>
      <c r="Q76" s="188">
        <f>Q77</f>
        <v>0</v>
      </c>
    </row>
    <row r="77" spans="2:17" ht="18.600000000000001" thickBot="1">
      <c r="B77" s="60" t="s">
        <v>109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58">
        <f>'2016'!P78</f>
        <v>0</v>
      </c>
      <c r="P77" s="58">
        <f>'2016'!Q78</f>
        <v>7244.1</v>
      </c>
      <c r="Q77" s="66">
        <v>0</v>
      </c>
    </row>
    <row r="78" spans="2:17" ht="30.6" hidden="1" thickBot="1">
      <c r="B78" s="44" t="s">
        <v>110</v>
      </c>
      <c r="C78" s="29">
        <v>100</v>
      </c>
      <c r="D78" s="29">
        <v>100</v>
      </c>
      <c r="E78" s="29">
        <v>100</v>
      </c>
      <c r="F78" s="37">
        <v>2285.9</v>
      </c>
      <c r="G78" s="37">
        <v>2641.7</v>
      </c>
      <c r="H78" s="51">
        <v>1992.6</v>
      </c>
      <c r="I78" s="37">
        <v>58.29</v>
      </c>
      <c r="J78" s="37">
        <v>41.2</v>
      </c>
      <c r="K78" s="51">
        <v>77</v>
      </c>
      <c r="L78" s="37">
        <v>35.130000000000003</v>
      </c>
      <c r="M78" s="37">
        <v>41.8</v>
      </c>
      <c r="N78" s="51">
        <v>70.430000000000007</v>
      </c>
      <c r="O78" s="30"/>
      <c r="P78" s="30"/>
      <c r="Q78" s="64"/>
    </row>
    <row r="79" spans="2:17" ht="21" thickBot="1">
      <c r="B79" s="61" t="s">
        <v>111</v>
      </c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69">
        <f>O80</f>
        <v>0</v>
      </c>
      <c r="P79" s="69">
        <f>P80</f>
        <v>10983</v>
      </c>
      <c r="Q79" s="69">
        <f>Q80</f>
        <v>928.86999999999898</v>
      </c>
    </row>
    <row r="80" spans="2:17" ht="18.600000000000001" thickBot="1">
      <c r="B80" s="67" t="s">
        <v>112</v>
      </c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3">
        <f>'2016'!P81</f>
        <v>0</v>
      </c>
      <c r="P80" s="53">
        <f>'2016'!Q81</f>
        <v>10983</v>
      </c>
      <c r="Q80" s="66">
        <f>'2016'!R81</f>
        <v>928.86999999999898</v>
      </c>
    </row>
    <row r="81" spans="2:17" ht="18" hidden="1">
      <c r="B81" s="79" t="s">
        <v>99</v>
      </c>
      <c r="C81" s="80">
        <v>100</v>
      </c>
      <c r="D81" s="80">
        <v>90</v>
      </c>
      <c r="E81" s="80">
        <v>0</v>
      </c>
      <c r="F81" s="81">
        <v>1682.5</v>
      </c>
      <c r="G81" s="81">
        <v>3080.4</v>
      </c>
      <c r="H81" s="81">
        <v>1693</v>
      </c>
      <c r="I81" s="81">
        <v>1218</v>
      </c>
      <c r="J81" s="81">
        <v>2451.6</v>
      </c>
      <c r="K81" s="81">
        <v>1360.6</v>
      </c>
      <c r="L81" s="81">
        <v>0</v>
      </c>
      <c r="M81" s="81">
        <v>0</v>
      </c>
      <c r="N81" s="81">
        <v>0</v>
      </c>
      <c r="O81" s="81"/>
      <c r="P81" s="81"/>
      <c r="Q81" s="89"/>
    </row>
    <row r="82" spans="2:17" ht="20.399999999999999">
      <c r="B82" s="90" t="s">
        <v>116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1">
        <f>O7+O14+O31++O62+O66+O76+O79</f>
        <v>238974.7</v>
      </c>
      <c r="P82" s="91">
        <f>P7+P14+P31++P62+P66+P76+P79</f>
        <v>296862.69999999995</v>
      </c>
      <c r="Q82" s="91">
        <f>Q7+Q14+Q31++Q62+Q66+Q76+Q79</f>
        <v>107047.77459999999</v>
      </c>
    </row>
  </sheetData>
  <mergeCells count="20">
    <mergeCell ref="B1:Q1"/>
    <mergeCell ref="B2:Q2"/>
    <mergeCell ref="O3:O6"/>
    <mergeCell ref="P3:P6"/>
    <mergeCell ref="H5:H6"/>
    <mergeCell ref="I5:I6"/>
    <mergeCell ref="J5:J6"/>
    <mergeCell ref="K5:K6"/>
    <mergeCell ref="Q3:Q6"/>
    <mergeCell ref="F4:H4"/>
    <mergeCell ref="B3:B6"/>
    <mergeCell ref="C3:E5"/>
    <mergeCell ref="F3:N3"/>
    <mergeCell ref="I4:K4"/>
    <mergeCell ref="L4:N4"/>
    <mergeCell ref="F5:F6"/>
    <mergeCell ref="N5:N6"/>
    <mergeCell ref="G5:G6"/>
    <mergeCell ref="L5:L6"/>
    <mergeCell ref="M5:M6"/>
  </mergeCells>
  <pageMargins left="0.35" right="0.2" top="0.33" bottom="0.28000000000000003" header="0.18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33" sqref="B33"/>
    </sheetView>
  </sheetViews>
  <sheetFormatPr defaultColWidth="9.109375" defaultRowHeight="15"/>
  <cols>
    <col min="1" max="1" width="2.109375" style="28" customWidth="1"/>
    <col min="2" max="2" width="33.109375" style="28" customWidth="1"/>
    <col min="3" max="3" width="5.5546875" style="28" hidden="1" customWidth="1"/>
    <col min="4" max="4" width="6.44140625" style="28" hidden="1" customWidth="1"/>
    <col min="5" max="5" width="7.44140625" style="28" hidden="1" customWidth="1"/>
    <col min="6" max="8" width="9.33203125" style="28" hidden="1" customWidth="1"/>
    <col min="9" max="9" width="10.5546875" style="28" hidden="1" customWidth="1"/>
    <col min="10" max="11" width="10" style="28" hidden="1" customWidth="1"/>
    <col min="12" max="12" width="9.33203125" style="28" hidden="1" customWidth="1"/>
    <col min="13" max="14" width="9.88671875" style="28" hidden="1" customWidth="1"/>
    <col min="15" max="15" width="20.6640625" style="28" customWidth="1"/>
    <col min="16" max="16" width="19.5546875" style="28" customWidth="1"/>
    <col min="17" max="17" width="18.109375" style="54" customWidth="1"/>
    <col min="18" max="16384" width="9.109375" style="28"/>
  </cols>
  <sheetData>
    <row r="1" spans="1:17" ht="17.399999999999999">
      <c r="B1" s="1312" t="s">
        <v>18</v>
      </c>
      <c r="C1" s="1312"/>
      <c r="D1" s="1312"/>
      <c r="E1" s="1312"/>
      <c r="F1" s="1312"/>
      <c r="G1" s="1312"/>
      <c r="H1" s="1312"/>
      <c r="I1" s="1312"/>
      <c r="J1" s="1312"/>
      <c r="K1" s="1312"/>
      <c r="L1" s="1312"/>
      <c r="M1" s="1312"/>
      <c r="N1" s="1312"/>
      <c r="O1" s="1312"/>
      <c r="P1" s="1312"/>
      <c r="Q1" s="1312"/>
    </row>
    <row r="2" spans="1:17" ht="56.25" customHeight="1">
      <c r="B2" s="1313" t="s">
        <v>126</v>
      </c>
      <c r="C2" s="1313"/>
      <c r="D2" s="1313"/>
      <c r="E2" s="1313"/>
      <c r="F2" s="1313"/>
      <c r="G2" s="1313"/>
      <c r="H2" s="1313"/>
      <c r="I2" s="1313"/>
      <c r="J2" s="1313"/>
      <c r="K2" s="1313"/>
      <c r="L2" s="1313"/>
      <c r="M2" s="1313"/>
      <c r="N2" s="1313"/>
      <c r="O2" s="1313"/>
      <c r="P2" s="1313"/>
      <c r="Q2" s="1313"/>
    </row>
    <row r="3" spans="1:17" ht="11.25" customHeight="1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ht="15" customHeight="1" thickBot="1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 t="s">
        <v>125</v>
      </c>
    </row>
    <row r="5" spans="1:17" ht="21" customHeight="1">
      <c r="A5" s="1317"/>
      <c r="B5" s="1320" t="s">
        <v>67</v>
      </c>
      <c r="C5" s="1309" t="s">
        <v>62</v>
      </c>
      <c r="D5" s="1309"/>
      <c r="E5" s="1309"/>
      <c r="F5" s="1309" t="s">
        <v>64</v>
      </c>
      <c r="G5" s="1309"/>
      <c r="H5" s="1309"/>
      <c r="I5" s="1309"/>
      <c r="J5" s="1309"/>
      <c r="K5" s="1309"/>
      <c r="L5" s="1309"/>
      <c r="M5" s="1309"/>
      <c r="N5" s="1309"/>
      <c r="O5" s="1309" t="s">
        <v>121</v>
      </c>
      <c r="P5" s="1309" t="s">
        <v>122</v>
      </c>
      <c r="Q5" s="1314" t="s">
        <v>123</v>
      </c>
    </row>
    <row r="6" spans="1:17" ht="12.75" customHeight="1">
      <c r="A6" s="1318"/>
      <c r="B6" s="1321"/>
      <c r="C6" s="1310"/>
      <c r="D6" s="1310"/>
      <c r="E6" s="1310"/>
      <c r="F6" s="1310" t="s">
        <v>63</v>
      </c>
      <c r="G6" s="1310"/>
      <c r="H6" s="1310"/>
      <c r="I6" s="1310" t="s">
        <v>65</v>
      </c>
      <c r="J6" s="1310"/>
      <c r="K6" s="1310"/>
      <c r="L6" s="1310" t="s">
        <v>66</v>
      </c>
      <c r="M6" s="1310"/>
      <c r="N6" s="1310"/>
      <c r="O6" s="1310"/>
      <c r="P6" s="1310"/>
      <c r="Q6" s="1315"/>
    </row>
    <row r="7" spans="1:17" ht="20.25" customHeight="1">
      <c r="A7" s="1318"/>
      <c r="B7" s="1321"/>
      <c r="C7" s="1310"/>
      <c r="D7" s="1310"/>
      <c r="E7" s="1310"/>
      <c r="F7" s="1310" t="s">
        <v>68</v>
      </c>
      <c r="G7" s="1310" t="s">
        <v>69</v>
      </c>
      <c r="H7" s="1310" t="s">
        <v>70</v>
      </c>
      <c r="I7" s="1310" t="s">
        <v>68</v>
      </c>
      <c r="J7" s="1310" t="s">
        <v>69</v>
      </c>
      <c r="K7" s="1310" t="s">
        <v>70</v>
      </c>
      <c r="L7" s="1310" t="s">
        <v>68</v>
      </c>
      <c r="M7" s="1310" t="s">
        <v>69</v>
      </c>
      <c r="N7" s="1310" t="s">
        <v>70</v>
      </c>
      <c r="O7" s="1310"/>
      <c r="P7" s="1310"/>
      <c r="Q7" s="1315"/>
    </row>
    <row r="8" spans="1:17" ht="29.25" customHeight="1" thickBot="1">
      <c r="A8" s="1319"/>
      <c r="B8" s="1322"/>
      <c r="C8" s="68" t="s">
        <v>59</v>
      </c>
      <c r="D8" s="68" t="s">
        <v>60</v>
      </c>
      <c r="E8" s="68" t="s">
        <v>61</v>
      </c>
      <c r="F8" s="1311"/>
      <c r="G8" s="1311"/>
      <c r="H8" s="1311"/>
      <c r="I8" s="1311"/>
      <c r="J8" s="1311"/>
      <c r="K8" s="1311"/>
      <c r="L8" s="1311"/>
      <c r="M8" s="1311"/>
      <c r="N8" s="1311"/>
      <c r="O8" s="1311"/>
      <c r="P8" s="1311"/>
      <c r="Q8" s="1316"/>
    </row>
    <row r="9" spans="1:17" ht="18.600000000000001" hidden="1" thickBot="1">
      <c r="A9" s="105"/>
      <c r="B9" s="97" t="s">
        <v>49</v>
      </c>
      <c r="C9" s="32">
        <v>100</v>
      </c>
      <c r="D9" s="32">
        <v>100</v>
      </c>
      <c r="E9" s="32">
        <v>100</v>
      </c>
      <c r="F9" s="33">
        <v>113.8</v>
      </c>
      <c r="G9" s="33">
        <v>73.7</v>
      </c>
      <c r="H9" s="33">
        <v>83.5</v>
      </c>
      <c r="I9" s="33">
        <v>7325.1</v>
      </c>
      <c r="J9" s="33">
        <v>7172.2</v>
      </c>
      <c r="K9" s="33">
        <v>6093.7</v>
      </c>
      <c r="L9" s="33">
        <v>4.8</v>
      </c>
      <c r="M9" s="33">
        <v>14.7</v>
      </c>
      <c r="N9" s="33">
        <v>23.3</v>
      </c>
      <c r="O9" s="34"/>
      <c r="P9" s="34"/>
      <c r="Q9" s="64"/>
    </row>
    <row r="10" spans="1:17" ht="18" hidden="1" customHeight="1">
      <c r="A10" s="105"/>
      <c r="B10" s="98" t="s">
        <v>50</v>
      </c>
      <c r="C10" s="92">
        <v>100</v>
      </c>
      <c r="D10" s="92">
        <v>100</v>
      </c>
      <c r="E10" s="92">
        <v>100</v>
      </c>
      <c r="F10" s="37">
        <v>12.8</v>
      </c>
      <c r="G10" s="37">
        <v>11.6</v>
      </c>
      <c r="H10" s="37">
        <v>11.5</v>
      </c>
      <c r="I10" s="37">
        <v>194.3</v>
      </c>
      <c r="J10" s="37">
        <v>175.8</v>
      </c>
      <c r="K10" s="37">
        <v>112.2</v>
      </c>
      <c r="L10" s="37">
        <v>84</v>
      </c>
      <c r="M10" s="37">
        <v>15.3</v>
      </c>
      <c r="N10" s="37">
        <v>10.7</v>
      </c>
      <c r="O10" s="34"/>
      <c r="P10" s="34"/>
      <c r="Q10" s="64"/>
    </row>
    <row r="11" spans="1:17" ht="13.5" hidden="1" customHeight="1">
      <c r="A11" s="105"/>
      <c r="B11" s="98" t="s">
        <v>51</v>
      </c>
      <c r="C11" s="92">
        <v>100</v>
      </c>
      <c r="D11" s="92">
        <v>100</v>
      </c>
      <c r="E11" s="92">
        <v>100</v>
      </c>
      <c r="F11" s="38">
        <v>0</v>
      </c>
      <c r="G11" s="38">
        <v>0</v>
      </c>
      <c r="H11" s="38">
        <v>0</v>
      </c>
      <c r="I11" s="37">
        <v>180.7</v>
      </c>
      <c r="J11" s="37">
        <v>154.6</v>
      </c>
      <c r="K11" s="37">
        <v>89.8</v>
      </c>
      <c r="L11" s="37">
        <v>2.1</v>
      </c>
      <c r="M11" s="37">
        <v>3.7</v>
      </c>
      <c r="N11" s="37">
        <v>0.9</v>
      </c>
      <c r="O11" s="34"/>
      <c r="P11" s="34"/>
      <c r="Q11" s="64"/>
    </row>
    <row r="12" spans="1:17" ht="21" hidden="1" customHeight="1">
      <c r="A12" s="105"/>
      <c r="B12" s="98" t="s">
        <v>52</v>
      </c>
      <c r="C12" s="92">
        <v>100</v>
      </c>
      <c r="D12" s="92">
        <v>100</v>
      </c>
      <c r="E12" s="92">
        <v>100</v>
      </c>
      <c r="F12" s="37">
        <v>104.1</v>
      </c>
      <c r="G12" s="37">
        <v>91.5</v>
      </c>
      <c r="H12" s="37">
        <v>147.1</v>
      </c>
      <c r="I12" s="37">
        <v>1350.7</v>
      </c>
      <c r="J12" s="37">
        <v>1388.2</v>
      </c>
      <c r="K12" s="37">
        <v>1523.8</v>
      </c>
      <c r="L12" s="37">
        <v>4761.6000000000004</v>
      </c>
      <c r="M12" s="37">
        <v>5184</v>
      </c>
      <c r="N12" s="37">
        <v>6290.4</v>
      </c>
      <c r="O12" s="34"/>
      <c r="P12" s="34"/>
      <c r="Q12" s="64"/>
    </row>
    <row r="13" spans="1:17" ht="14.25" hidden="1" customHeight="1">
      <c r="A13" s="105"/>
      <c r="B13" s="98" t="s">
        <v>53</v>
      </c>
      <c r="C13" s="92">
        <v>100</v>
      </c>
      <c r="D13" s="92">
        <v>100</v>
      </c>
      <c r="E13" s="92">
        <v>100</v>
      </c>
      <c r="F13" s="37">
        <v>309.60000000000002</v>
      </c>
      <c r="G13" s="37">
        <v>403.7</v>
      </c>
      <c r="H13" s="37">
        <v>330.72</v>
      </c>
      <c r="I13" s="37">
        <v>4965.7</v>
      </c>
      <c r="J13" s="37">
        <v>10037.799999999999</v>
      </c>
      <c r="K13" s="37">
        <v>6084.2</v>
      </c>
      <c r="L13" s="37">
        <v>5000</v>
      </c>
      <c r="M13" s="37">
        <v>12041.1</v>
      </c>
      <c r="N13" s="37">
        <v>12157.4</v>
      </c>
      <c r="O13" s="30"/>
      <c r="P13" s="30"/>
      <c r="Q13" s="64"/>
    </row>
    <row r="14" spans="1:17" ht="17.25" hidden="1" customHeight="1" thickBot="1">
      <c r="A14" s="105"/>
      <c r="B14" s="99" t="s">
        <v>54</v>
      </c>
      <c r="C14" s="40">
        <v>100</v>
      </c>
      <c r="D14" s="40">
        <v>100</v>
      </c>
      <c r="E14" s="40">
        <v>100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57"/>
      <c r="P14" s="57"/>
      <c r="Q14" s="65"/>
    </row>
    <row r="15" spans="1:17" ht="21" customHeight="1" thickBot="1">
      <c r="A15" s="105"/>
      <c r="B15" s="100" t="s">
        <v>115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9">
        <f>SUM(O16:O30)</f>
        <v>216688.40000000002</v>
      </c>
      <c r="P15" s="59">
        <f>SUM(P16:P30)</f>
        <v>150509.59999999998</v>
      </c>
      <c r="Q15" s="59">
        <f>SUM(Q16:Q30)</f>
        <v>52648.089599999999</v>
      </c>
    </row>
    <row r="16" spans="1:17" ht="18">
      <c r="A16" s="105">
        <v>1</v>
      </c>
      <c r="B16" s="101" t="s">
        <v>56</v>
      </c>
      <c r="C16" s="32"/>
      <c r="D16" s="32"/>
      <c r="E16" s="32"/>
      <c r="F16" s="43"/>
      <c r="G16" s="43"/>
      <c r="H16" s="43"/>
      <c r="I16" s="43"/>
      <c r="J16" s="43"/>
      <c r="K16" s="43"/>
      <c r="L16" s="43"/>
      <c r="M16" s="43"/>
      <c r="N16" s="43"/>
      <c r="O16" s="58">
        <f>'2016'!P16</f>
        <v>114590.2</v>
      </c>
      <c r="P16" s="58">
        <f>'2016'!Q16</f>
        <v>94677</v>
      </c>
      <c r="Q16" s="94">
        <v>0</v>
      </c>
    </row>
    <row r="17" spans="1:17" ht="18" hidden="1">
      <c r="A17" s="105"/>
      <c r="B17" s="102" t="s">
        <v>58</v>
      </c>
      <c r="C17" s="92">
        <v>100</v>
      </c>
      <c r="D17" s="92">
        <v>50</v>
      </c>
      <c r="E17" s="92">
        <v>100</v>
      </c>
      <c r="F17" s="37">
        <v>2300.4</v>
      </c>
      <c r="G17" s="37">
        <v>2318.6999999999998</v>
      </c>
      <c r="H17" s="37">
        <v>1217.0999999999999</v>
      </c>
      <c r="I17" s="37">
        <v>443984.4</v>
      </c>
      <c r="J17" s="37">
        <v>81259.7</v>
      </c>
      <c r="K17" s="37">
        <v>104141.8</v>
      </c>
      <c r="L17" s="38">
        <v>0</v>
      </c>
      <c r="M17" s="38">
        <v>0</v>
      </c>
      <c r="N17" s="38">
        <v>0</v>
      </c>
      <c r="O17" s="30"/>
      <c r="P17" s="30"/>
      <c r="Q17" s="95"/>
    </row>
    <row r="18" spans="1:17" ht="18">
      <c r="A18" s="105">
        <v>2</v>
      </c>
      <c r="B18" s="103" t="s">
        <v>71</v>
      </c>
      <c r="C18" s="92"/>
      <c r="D18" s="92"/>
      <c r="E18" s="92"/>
      <c r="F18" s="46"/>
      <c r="G18" s="46"/>
      <c r="H18" s="46"/>
      <c r="I18" s="46"/>
      <c r="J18" s="46"/>
      <c r="K18" s="46"/>
      <c r="L18" s="46"/>
      <c r="M18" s="46"/>
      <c r="N18" s="46"/>
      <c r="O18" s="30">
        <f>'2016'!P18</f>
        <v>4342.1000000000004</v>
      </c>
      <c r="P18" s="30">
        <f>'2016'!Q18</f>
        <v>0</v>
      </c>
      <c r="Q18" s="96">
        <f>'2016'!R18</f>
        <v>4729.6689999999999</v>
      </c>
    </row>
    <row r="19" spans="1:17" ht="30" hidden="1">
      <c r="A19" s="105">
        <v>3</v>
      </c>
      <c r="B19" s="102" t="s">
        <v>72</v>
      </c>
      <c r="C19" s="92">
        <v>100</v>
      </c>
      <c r="D19" s="92">
        <v>100</v>
      </c>
      <c r="E19" s="92">
        <v>40</v>
      </c>
      <c r="F19" s="38">
        <v>3059.9</v>
      </c>
      <c r="G19" s="38">
        <v>3744.5</v>
      </c>
      <c r="H19" s="38">
        <v>1497.8</v>
      </c>
      <c r="I19" s="38">
        <v>21.3</v>
      </c>
      <c r="J19" s="38">
        <v>35.799999999999997</v>
      </c>
      <c r="K19" s="38">
        <v>14</v>
      </c>
      <c r="L19" s="38">
        <v>0</v>
      </c>
      <c r="M19" s="38">
        <v>0</v>
      </c>
      <c r="N19" s="38">
        <v>0</v>
      </c>
      <c r="O19" s="30"/>
      <c r="P19" s="30"/>
      <c r="Q19" s="95"/>
    </row>
    <row r="20" spans="1:17" ht="18">
      <c r="A20" s="105">
        <v>3</v>
      </c>
      <c r="B20" s="104" t="s">
        <v>113</v>
      </c>
      <c r="C20" s="92"/>
      <c r="D20" s="92"/>
      <c r="E20" s="92"/>
      <c r="F20" s="38"/>
      <c r="G20" s="92"/>
      <c r="H20" s="92"/>
      <c r="I20" s="92"/>
      <c r="J20" s="92"/>
      <c r="K20" s="92"/>
      <c r="L20" s="92"/>
      <c r="M20" s="92"/>
      <c r="N20" s="92"/>
      <c r="O20" s="30">
        <f>'2016'!P20</f>
        <v>29989.5</v>
      </c>
      <c r="P20" s="30">
        <f>'2016'!Q20</f>
        <v>20862.2</v>
      </c>
      <c r="Q20" s="96">
        <v>0</v>
      </c>
    </row>
    <row r="21" spans="1:17" ht="18" hidden="1">
      <c r="A21" s="105">
        <v>4</v>
      </c>
      <c r="B21" s="102" t="s">
        <v>58</v>
      </c>
      <c r="C21" s="92">
        <v>0</v>
      </c>
      <c r="D21" s="92">
        <v>12.5</v>
      </c>
      <c r="E21" s="92">
        <v>0</v>
      </c>
      <c r="F21" s="38">
        <v>2300.4</v>
      </c>
      <c r="G21" s="38">
        <v>2318.6999999999998</v>
      </c>
      <c r="H21" s="38">
        <v>1217.0999999999999</v>
      </c>
      <c r="I21" s="38">
        <v>443984.4</v>
      </c>
      <c r="J21" s="38">
        <v>81259.7</v>
      </c>
      <c r="K21" s="38">
        <v>104141.8</v>
      </c>
      <c r="L21" s="38">
        <v>0</v>
      </c>
      <c r="M21" s="38">
        <v>0</v>
      </c>
      <c r="N21" s="38">
        <v>0</v>
      </c>
      <c r="O21" s="30"/>
      <c r="P21" s="30"/>
      <c r="Q21" s="95"/>
    </row>
    <row r="22" spans="1:17" ht="18">
      <c r="A22" s="105">
        <v>4</v>
      </c>
      <c r="B22" s="104" t="s">
        <v>73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30">
        <f>'2016'!P22</f>
        <v>25838.2</v>
      </c>
      <c r="P22" s="30">
        <f>'2016'!Q22</f>
        <v>27470.6</v>
      </c>
      <c r="Q22" s="96">
        <v>0</v>
      </c>
    </row>
    <row r="23" spans="1:17" ht="18" hidden="1">
      <c r="A23" s="105"/>
      <c r="B23" s="102" t="s">
        <v>58</v>
      </c>
      <c r="C23" s="92">
        <v>0</v>
      </c>
      <c r="D23" s="92">
        <v>12.5</v>
      </c>
      <c r="E23" s="92">
        <v>0</v>
      </c>
      <c r="F23" s="38">
        <v>2300.4</v>
      </c>
      <c r="G23" s="38">
        <v>2318.6999999999998</v>
      </c>
      <c r="H23" s="38">
        <v>1217.0999999999999</v>
      </c>
      <c r="I23" s="38">
        <v>443984.4</v>
      </c>
      <c r="J23" s="38">
        <v>81259.7</v>
      </c>
      <c r="K23" s="38">
        <v>104141.8</v>
      </c>
      <c r="L23" s="38">
        <v>0</v>
      </c>
      <c r="M23" s="38">
        <v>0</v>
      </c>
      <c r="N23" s="38">
        <v>0</v>
      </c>
      <c r="O23" s="30"/>
      <c r="P23" s="30"/>
      <c r="Q23" s="95"/>
    </row>
    <row r="24" spans="1:17" ht="18">
      <c r="A24" s="105">
        <v>5</v>
      </c>
      <c r="B24" s="104" t="s">
        <v>74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30">
        <f>'2016'!P24</f>
        <v>11935.7</v>
      </c>
      <c r="P24" s="30">
        <f>'2016'!Q24</f>
        <v>7499.8</v>
      </c>
      <c r="Q24" s="96">
        <f>'2016'!R24</f>
        <v>47918.420599999998</v>
      </c>
    </row>
    <row r="25" spans="1:17" ht="18" hidden="1">
      <c r="A25" s="105">
        <v>7</v>
      </c>
      <c r="B25" s="102" t="s">
        <v>58</v>
      </c>
      <c r="C25" s="92">
        <v>0</v>
      </c>
      <c r="D25" s="92">
        <v>12.5</v>
      </c>
      <c r="E25" s="92">
        <v>0</v>
      </c>
      <c r="F25" s="38">
        <v>2300.4</v>
      </c>
      <c r="G25" s="38">
        <v>2318.6999999999998</v>
      </c>
      <c r="H25" s="38">
        <v>1217.0999999999999</v>
      </c>
      <c r="I25" s="38">
        <v>443984.4</v>
      </c>
      <c r="J25" s="38">
        <v>81259.7</v>
      </c>
      <c r="K25" s="38">
        <v>104141.8</v>
      </c>
      <c r="L25" s="38">
        <v>0</v>
      </c>
      <c r="M25" s="38">
        <v>0</v>
      </c>
      <c r="N25" s="38">
        <v>0</v>
      </c>
      <c r="O25" s="30"/>
      <c r="P25" s="30"/>
      <c r="Q25" s="95"/>
    </row>
    <row r="26" spans="1:17" ht="18">
      <c r="A26" s="105">
        <v>6</v>
      </c>
      <c r="B26" s="104" t="s">
        <v>75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30">
        <f>'2016'!P26</f>
        <v>29992.7</v>
      </c>
      <c r="P26" s="30">
        <f>'2016'!Q26</f>
        <v>0</v>
      </c>
      <c r="Q26" s="96">
        <v>0</v>
      </c>
    </row>
    <row r="27" spans="1:17" ht="18" hidden="1">
      <c r="A27" s="105">
        <v>8</v>
      </c>
      <c r="B27" s="102" t="s">
        <v>58</v>
      </c>
      <c r="C27" s="92">
        <v>0</v>
      </c>
      <c r="D27" s="92">
        <v>12.5</v>
      </c>
      <c r="E27" s="92">
        <v>0</v>
      </c>
      <c r="F27" s="38">
        <v>2300.4</v>
      </c>
      <c r="G27" s="38">
        <v>2318.6999999999998</v>
      </c>
      <c r="H27" s="38">
        <v>1217.0999999999999</v>
      </c>
      <c r="I27" s="38">
        <v>443984.4</v>
      </c>
      <c r="J27" s="38">
        <v>81259.7</v>
      </c>
      <c r="K27" s="38">
        <v>104141.8</v>
      </c>
      <c r="L27" s="38">
        <v>0</v>
      </c>
      <c r="M27" s="38">
        <v>0</v>
      </c>
      <c r="N27" s="38">
        <v>0</v>
      </c>
      <c r="O27" s="30"/>
      <c r="P27" s="30"/>
      <c r="Q27" s="95"/>
    </row>
    <row r="28" spans="1:17" ht="18">
      <c r="A28" s="105">
        <v>7</v>
      </c>
      <c r="B28" s="104" t="s">
        <v>76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30">
        <v>0</v>
      </c>
      <c r="P28" s="30">
        <v>0</v>
      </c>
      <c r="Q28" s="96">
        <v>0</v>
      </c>
    </row>
    <row r="29" spans="1:17" ht="30" hidden="1">
      <c r="A29" s="105"/>
      <c r="B29" s="102" t="s">
        <v>72</v>
      </c>
      <c r="C29" s="92">
        <v>0</v>
      </c>
      <c r="D29" s="92">
        <v>0</v>
      </c>
      <c r="E29" s="92">
        <v>30</v>
      </c>
      <c r="F29" s="38">
        <v>3059.9</v>
      </c>
      <c r="G29" s="38">
        <v>3744.5</v>
      </c>
      <c r="H29" s="38">
        <v>1497.8</v>
      </c>
      <c r="I29" s="38">
        <v>21.3</v>
      </c>
      <c r="J29" s="38">
        <v>35.799999999999997</v>
      </c>
      <c r="K29" s="38">
        <v>14</v>
      </c>
      <c r="L29" s="38">
        <v>0</v>
      </c>
      <c r="M29" s="38">
        <v>0</v>
      </c>
      <c r="N29" s="38">
        <v>0</v>
      </c>
      <c r="O29" s="30"/>
      <c r="P29" s="30"/>
      <c r="Q29" s="64"/>
    </row>
    <row r="30" spans="1:17" ht="18">
      <c r="A30" s="105">
        <v>8</v>
      </c>
      <c r="B30" s="104" t="s">
        <v>77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30">
        <v>0</v>
      </c>
      <c r="P30" s="30">
        <v>0</v>
      </c>
      <c r="Q30" s="63">
        <v>0</v>
      </c>
    </row>
    <row r="31" spans="1:17" ht="30.6" hidden="1" thickBot="1">
      <c r="B31" s="48" t="s">
        <v>72</v>
      </c>
      <c r="C31" s="40">
        <v>0</v>
      </c>
      <c r="D31" s="40">
        <v>0</v>
      </c>
      <c r="E31" s="40">
        <v>30</v>
      </c>
      <c r="F31" s="41">
        <v>3059.9</v>
      </c>
      <c r="G31" s="41">
        <v>3744.5</v>
      </c>
      <c r="H31" s="41">
        <v>1497.8</v>
      </c>
      <c r="I31" s="41">
        <v>21.3</v>
      </c>
      <c r="J31" s="41">
        <v>35.799999999999997</v>
      </c>
      <c r="K31" s="41">
        <v>14</v>
      </c>
      <c r="L31" s="41">
        <v>0</v>
      </c>
      <c r="M31" s="41">
        <v>0</v>
      </c>
      <c r="N31" s="41">
        <v>0</v>
      </c>
      <c r="O31" s="57"/>
      <c r="P31" s="57"/>
      <c r="Q31" s="65"/>
    </row>
  </sheetData>
  <mergeCells count="21">
    <mergeCell ref="N7:N8"/>
    <mergeCell ref="F6:H6"/>
    <mergeCell ref="B1:Q1"/>
    <mergeCell ref="B2:Q2"/>
    <mergeCell ref="B5:B8"/>
    <mergeCell ref="C5:E7"/>
    <mergeCell ref="F5:N5"/>
    <mergeCell ref="H7:H8"/>
    <mergeCell ref="Q5:Q8"/>
    <mergeCell ref="O5:O8"/>
    <mergeCell ref="P5:P8"/>
    <mergeCell ref="M7:M8"/>
    <mergeCell ref="L6:N6"/>
    <mergeCell ref="G7:G8"/>
    <mergeCell ref="A5:A8"/>
    <mergeCell ref="I7:I8"/>
    <mergeCell ref="J7:J8"/>
    <mergeCell ref="K7:K8"/>
    <mergeCell ref="L7:L8"/>
    <mergeCell ref="F7:F8"/>
    <mergeCell ref="I6:K6"/>
  </mergeCells>
  <pageMargins left="0.2" right="0.2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B9" sqref="B9"/>
    </sheetView>
  </sheetViews>
  <sheetFormatPr defaultColWidth="9.109375" defaultRowHeight="15"/>
  <cols>
    <col min="1" max="1" width="20" style="5" customWidth="1"/>
    <col min="2" max="2" width="49.6640625" style="5" customWidth="1"/>
    <col min="3" max="3" width="14" style="5" customWidth="1"/>
    <col min="4" max="4" width="46.5546875" style="5" customWidth="1"/>
    <col min="5" max="5" width="14.6640625" style="5" customWidth="1"/>
    <col min="6" max="16384" width="9.109375" style="5"/>
  </cols>
  <sheetData>
    <row r="1" spans="1:11" ht="18">
      <c r="A1" s="1327" t="s">
        <v>18</v>
      </c>
      <c r="B1" s="1327"/>
      <c r="C1" s="1327"/>
      <c r="D1" s="1327"/>
      <c r="E1" s="1327"/>
      <c r="F1" s="136"/>
      <c r="G1" s="136"/>
      <c r="H1" s="136"/>
      <c r="I1" s="136"/>
      <c r="J1" s="136"/>
      <c r="K1" s="136"/>
    </row>
    <row r="2" spans="1:11" ht="56.25" customHeight="1">
      <c r="A2" s="1328" t="s">
        <v>198</v>
      </c>
      <c r="B2" s="1328"/>
      <c r="C2" s="1328"/>
      <c r="D2" s="1328"/>
      <c r="E2" s="1328"/>
    </row>
    <row r="3" spans="1:11" ht="6" customHeight="1" thickBot="1"/>
    <row r="4" spans="1:11" ht="35.25" customHeight="1">
      <c r="A4" s="1356" t="s">
        <v>143</v>
      </c>
      <c r="B4" s="1357" t="s">
        <v>127</v>
      </c>
      <c r="C4" s="1357"/>
      <c r="D4" s="1357" t="s">
        <v>128</v>
      </c>
      <c r="E4" s="1358"/>
    </row>
    <row r="5" spans="1:11" ht="30" customHeight="1">
      <c r="A5" s="1339"/>
      <c r="B5" s="106" t="s">
        <v>129</v>
      </c>
      <c r="C5" s="88" t="s">
        <v>130</v>
      </c>
      <c r="D5" s="106" t="s">
        <v>129</v>
      </c>
      <c r="E5" s="147" t="s">
        <v>130</v>
      </c>
    </row>
    <row r="6" spans="1:11" ht="57" customHeight="1">
      <c r="A6" s="1350" t="s">
        <v>131</v>
      </c>
      <c r="B6" s="1351"/>
      <c r="C6" s="129">
        <v>0</v>
      </c>
      <c r="D6" s="134" t="s">
        <v>175</v>
      </c>
      <c r="E6" s="148">
        <v>94136.4</v>
      </c>
    </row>
    <row r="7" spans="1:11" ht="20.25" customHeight="1">
      <c r="A7" s="1359" t="s">
        <v>132</v>
      </c>
      <c r="B7" s="1360"/>
      <c r="C7" s="125">
        <f>C8+C17+C21+C27+C33+C37</f>
        <v>216688.42400000003</v>
      </c>
      <c r="D7" s="119"/>
      <c r="E7" s="149">
        <f>E8+E17+E21+E27+E33+E37</f>
        <v>150509.59999999998</v>
      </c>
    </row>
    <row r="8" spans="1:11" ht="20.25" customHeight="1">
      <c r="A8" s="1339" t="s">
        <v>56</v>
      </c>
      <c r="B8" s="120" t="s">
        <v>147</v>
      </c>
      <c r="C8" s="121">
        <f>C16+C9</f>
        <v>114590.19899999999</v>
      </c>
      <c r="D8" s="120"/>
      <c r="E8" s="150">
        <f>E9+E16</f>
        <v>94677</v>
      </c>
    </row>
    <row r="9" spans="1:11" ht="23.25" customHeight="1">
      <c r="A9" s="1339"/>
      <c r="B9" s="108" t="s">
        <v>144</v>
      </c>
      <c r="C9" s="115">
        <f>SUM(C10:C15)</f>
        <v>79983.194000000003</v>
      </c>
      <c r="D9" s="108" t="s">
        <v>144</v>
      </c>
      <c r="E9" s="151">
        <f>SUM(E10:E15)</f>
        <v>66273.899999999994</v>
      </c>
    </row>
    <row r="10" spans="1:11" ht="44.25" customHeight="1">
      <c r="A10" s="1339"/>
      <c r="B10" s="109" t="s">
        <v>139</v>
      </c>
      <c r="C10" s="22">
        <v>36788.878000000004</v>
      </c>
      <c r="D10" s="109" t="s">
        <v>176</v>
      </c>
      <c r="E10" s="152">
        <v>31214</v>
      </c>
    </row>
    <row r="11" spans="1:11" ht="45.75" customHeight="1">
      <c r="A11" s="1339"/>
      <c r="B11" s="109" t="s">
        <v>138</v>
      </c>
      <c r="C11" s="22">
        <v>3499.09</v>
      </c>
      <c r="D11" s="109" t="s">
        <v>177</v>
      </c>
      <c r="E11" s="152">
        <v>24424</v>
      </c>
    </row>
    <row r="12" spans="1:11" ht="46.5" customHeight="1">
      <c r="A12" s="1339"/>
      <c r="B12" s="109" t="s">
        <v>140</v>
      </c>
      <c r="C12" s="22">
        <v>14536.038</v>
      </c>
      <c r="D12" s="109" t="s">
        <v>178</v>
      </c>
      <c r="E12" s="152">
        <v>5572</v>
      </c>
    </row>
    <row r="13" spans="1:11" ht="54" customHeight="1">
      <c r="A13" s="1339"/>
      <c r="B13" s="109" t="s">
        <v>141</v>
      </c>
      <c r="C13" s="22">
        <v>12447.907999999999</v>
      </c>
      <c r="D13" s="109" t="s">
        <v>179</v>
      </c>
      <c r="E13" s="152">
        <v>1263.9000000000001</v>
      </c>
    </row>
    <row r="14" spans="1:11" ht="75" customHeight="1">
      <c r="A14" s="1339"/>
      <c r="B14" s="109" t="s">
        <v>142</v>
      </c>
      <c r="C14" s="22">
        <v>9641.2799999999988</v>
      </c>
      <c r="D14" s="109" t="s">
        <v>180</v>
      </c>
      <c r="E14" s="152">
        <v>2500</v>
      </c>
    </row>
    <row r="15" spans="1:11" ht="28.5" customHeight="1">
      <c r="A15" s="1339"/>
      <c r="B15" s="109" t="s">
        <v>146</v>
      </c>
      <c r="C15" s="22">
        <v>3070</v>
      </c>
      <c r="D15" s="109" t="s">
        <v>146</v>
      </c>
      <c r="E15" s="152">
        <v>1300</v>
      </c>
    </row>
    <row r="16" spans="1:11" ht="17.25" customHeight="1">
      <c r="A16" s="1339"/>
      <c r="B16" s="108" t="s">
        <v>145</v>
      </c>
      <c r="C16" s="115">
        <v>34607.004999999997</v>
      </c>
      <c r="D16" s="108" t="s">
        <v>150</v>
      </c>
      <c r="E16" s="151">
        <v>28403.1</v>
      </c>
    </row>
    <row r="17" spans="1:5" ht="17.25" customHeight="1">
      <c r="A17" s="1339" t="s">
        <v>71</v>
      </c>
      <c r="B17" s="120" t="s">
        <v>148</v>
      </c>
      <c r="C17" s="121">
        <v>4342.1000000000004</v>
      </c>
      <c r="D17" s="122"/>
      <c r="E17" s="153">
        <v>0</v>
      </c>
    </row>
    <row r="18" spans="1:5" ht="17.25" customHeight="1">
      <c r="A18" s="1339"/>
      <c r="B18" s="108" t="s">
        <v>144</v>
      </c>
      <c r="C18" s="115">
        <f>C19</f>
        <v>3150</v>
      </c>
      <c r="D18" s="108" t="s">
        <v>182</v>
      </c>
      <c r="E18" s="151">
        <v>0</v>
      </c>
    </row>
    <row r="19" spans="1:5" ht="30" customHeight="1">
      <c r="A19" s="1339"/>
      <c r="B19" s="109" t="s">
        <v>149</v>
      </c>
      <c r="C19" s="22">
        <v>3150</v>
      </c>
      <c r="D19" s="107"/>
      <c r="E19" s="114"/>
    </row>
    <row r="20" spans="1:5" ht="19.5" customHeight="1">
      <c r="A20" s="1339"/>
      <c r="B20" s="108" t="s">
        <v>145</v>
      </c>
      <c r="C20" s="115">
        <v>1192.069</v>
      </c>
      <c r="D20" s="108" t="s">
        <v>150</v>
      </c>
      <c r="E20" s="151">
        <v>0</v>
      </c>
    </row>
    <row r="21" spans="1:5" ht="19.5" customHeight="1">
      <c r="A21" s="1339" t="s">
        <v>113</v>
      </c>
      <c r="B21" s="120" t="s">
        <v>151</v>
      </c>
      <c r="C21" s="121">
        <v>29989.5</v>
      </c>
      <c r="D21" s="122"/>
      <c r="E21" s="150">
        <f>E22+E26</f>
        <v>20862.2</v>
      </c>
    </row>
    <row r="22" spans="1:5" ht="22.5" customHeight="1">
      <c r="A22" s="1339"/>
      <c r="B22" s="108" t="s">
        <v>144</v>
      </c>
      <c r="C22" s="115">
        <f>C23+C24+C25</f>
        <v>19993.484</v>
      </c>
      <c r="D22" s="108" t="s">
        <v>144</v>
      </c>
      <c r="E22" s="154">
        <f>E23</f>
        <v>16812.2</v>
      </c>
    </row>
    <row r="23" spans="1:5" ht="18.75" customHeight="1">
      <c r="A23" s="1339"/>
      <c r="B23" s="109" t="s">
        <v>152</v>
      </c>
      <c r="C23" s="117">
        <v>4916.348</v>
      </c>
      <c r="D23" s="1331" t="s">
        <v>181</v>
      </c>
      <c r="E23" s="1353">
        <v>16812.2</v>
      </c>
    </row>
    <row r="24" spans="1:5" ht="21" customHeight="1">
      <c r="A24" s="1339"/>
      <c r="B24" s="109" t="s">
        <v>153</v>
      </c>
      <c r="C24" s="117">
        <v>2079.9580000000001</v>
      </c>
      <c r="D24" s="1352"/>
      <c r="E24" s="1354"/>
    </row>
    <row r="25" spans="1:5" ht="21.75" customHeight="1">
      <c r="A25" s="1339"/>
      <c r="B25" s="109" t="s">
        <v>154</v>
      </c>
      <c r="C25" s="117">
        <v>12997.178</v>
      </c>
      <c r="D25" s="1332"/>
      <c r="E25" s="1355"/>
    </row>
    <row r="26" spans="1:5" ht="17.25" customHeight="1">
      <c r="A26" s="1339"/>
      <c r="B26" s="108" t="s">
        <v>145</v>
      </c>
      <c r="C26" s="115">
        <f>2800.05+7195.97</f>
        <v>9996.02</v>
      </c>
      <c r="D26" s="108" t="s">
        <v>145</v>
      </c>
      <c r="E26" s="155">
        <v>4050</v>
      </c>
    </row>
    <row r="27" spans="1:5" ht="17.25" customHeight="1">
      <c r="A27" s="1339" t="s">
        <v>73</v>
      </c>
      <c r="B27" s="120" t="s">
        <v>157</v>
      </c>
      <c r="C27" s="121">
        <f>C28+C32</f>
        <v>25838.224999999999</v>
      </c>
      <c r="D27" s="122"/>
      <c r="E27" s="150">
        <f>E28+E32</f>
        <v>27470.600000000002</v>
      </c>
    </row>
    <row r="28" spans="1:5" ht="22.5" customHeight="1">
      <c r="A28" s="1339"/>
      <c r="B28" s="108" t="s">
        <v>144</v>
      </c>
      <c r="C28" s="116">
        <f>SUM(C29:C31)</f>
        <v>18244.325000000001</v>
      </c>
      <c r="D28" s="108" t="s">
        <v>144</v>
      </c>
      <c r="E28" s="156">
        <f>E29+E30</f>
        <v>19229.400000000001</v>
      </c>
    </row>
    <row r="29" spans="1:5" ht="32.25" customHeight="1">
      <c r="A29" s="1339"/>
      <c r="B29" s="109" t="s">
        <v>155</v>
      </c>
      <c r="C29" s="22">
        <v>1980</v>
      </c>
      <c r="D29" s="109" t="s">
        <v>183</v>
      </c>
      <c r="E29" s="157">
        <v>18129.400000000001</v>
      </c>
    </row>
    <row r="30" spans="1:5" ht="46.5" customHeight="1">
      <c r="A30" s="1339"/>
      <c r="B30" s="109" t="s">
        <v>156</v>
      </c>
      <c r="C30" s="22">
        <v>870</v>
      </c>
      <c r="D30" s="1331" t="s">
        <v>156</v>
      </c>
      <c r="E30" s="1329">
        <v>1100</v>
      </c>
    </row>
    <row r="31" spans="1:5" ht="31.5" customHeight="1">
      <c r="A31" s="1339"/>
      <c r="B31" s="109" t="s">
        <v>171</v>
      </c>
      <c r="C31" s="22">
        <v>15394.325000000001</v>
      </c>
      <c r="D31" s="1332"/>
      <c r="E31" s="1330"/>
    </row>
    <row r="32" spans="1:5" ht="15.6">
      <c r="A32" s="1339"/>
      <c r="B32" s="108" t="s">
        <v>145</v>
      </c>
      <c r="C32" s="123">
        <v>7593.9</v>
      </c>
      <c r="D32" s="108" t="s">
        <v>145</v>
      </c>
      <c r="E32" s="156">
        <v>8241.2000000000007</v>
      </c>
    </row>
    <row r="33" spans="1:5" ht="18">
      <c r="A33" s="1339" t="s">
        <v>74</v>
      </c>
      <c r="B33" s="120" t="s">
        <v>159</v>
      </c>
      <c r="C33" s="121">
        <v>11935.7</v>
      </c>
      <c r="D33" s="122"/>
      <c r="E33" s="150">
        <f>E34+E36</f>
        <v>7499.8</v>
      </c>
    </row>
    <row r="34" spans="1:5" ht="21" customHeight="1">
      <c r="A34" s="1339"/>
      <c r="B34" s="108" t="s">
        <v>144</v>
      </c>
      <c r="C34" s="124">
        <f>C35</f>
        <v>6996.6589999999997</v>
      </c>
      <c r="D34" s="108" t="s">
        <v>144</v>
      </c>
      <c r="E34" s="156">
        <v>0</v>
      </c>
    </row>
    <row r="35" spans="1:5" ht="45.75" customHeight="1">
      <c r="A35" s="1339"/>
      <c r="B35" s="109" t="s">
        <v>158</v>
      </c>
      <c r="C35" s="22">
        <v>6996.6589999999997</v>
      </c>
      <c r="D35" s="107"/>
      <c r="E35" s="111"/>
    </row>
    <row r="36" spans="1:5" ht="24.75" customHeight="1">
      <c r="A36" s="1339"/>
      <c r="B36" s="108" t="s">
        <v>145</v>
      </c>
      <c r="C36" s="123">
        <v>4939.03</v>
      </c>
      <c r="D36" s="108" t="s">
        <v>145</v>
      </c>
      <c r="E36" s="156">
        <v>7499.8</v>
      </c>
    </row>
    <row r="37" spans="1:5" ht="18">
      <c r="A37" s="1339" t="s">
        <v>75</v>
      </c>
      <c r="B37" s="120" t="s">
        <v>161</v>
      </c>
      <c r="C37" s="121">
        <v>29992.7</v>
      </c>
      <c r="D37" s="122"/>
      <c r="E37" s="150">
        <v>0</v>
      </c>
    </row>
    <row r="38" spans="1:5" ht="20.25" customHeight="1">
      <c r="A38" s="1339"/>
      <c r="B38" s="108" t="s">
        <v>144</v>
      </c>
      <c r="C38" s="124">
        <f>C39</f>
        <v>24997.524999999998</v>
      </c>
      <c r="D38" s="108" t="s">
        <v>144</v>
      </c>
      <c r="E38" s="156">
        <v>0</v>
      </c>
    </row>
    <row r="39" spans="1:5" ht="28.5" customHeight="1">
      <c r="A39" s="1339"/>
      <c r="B39" s="109" t="s">
        <v>160</v>
      </c>
      <c r="C39" s="22">
        <v>24997.524999999998</v>
      </c>
      <c r="D39" s="107"/>
      <c r="E39" s="114"/>
    </row>
    <row r="40" spans="1:5" ht="20.25" customHeight="1">
      <c r="A40" s="1339"/>
      <c r="B40" s="108" t="s">
        <v>150</v>
      </c>
      <c r="C40" s="124">
        <v>4995.25</v>
      </c>
      <c r="D40" s="108" t="s">
        <v>145</v>
      </c>
      <c r="E40" s="156">
        <v>0</v>
      </c>
    </row>
    <row r="41" spans="1:5" ht="24" customHeight="1">
      <c r="A41" s="1340" t="s">
        <v>133</v>
      </c>
      <c r="B41" s="1341"/>
      <c r="C41" s="125">
        <f>C42+C48+C52+C56+C59</f>
        <v>19674.3</v>
      </c>
      <c r="D41" s="119"/>
      <c r="E41" s="149">
        <f>E42+E48+E52+E56+E59</f>
        <v>25525.3</v>
      </c>
    </row>
    <row r="42" spans="1:5" ht="17.25" customHeight="1">
      <c r="A42" s="1339" t="s">
        <v>79</v>
      </c>
      <c r="B42" s="120" t="s">
        <v>162</v>
      </c>
      <c r="C42" s="121">
        <v>11073.6</v>
      </c>
      <c r="D42" s="126"/>
      <c r="E42" s="150">
        <v>4250</v>
      </c>
    </row>
    <row r="43" spans="1:5" ht="17.25" customHeight="1">
      <c r="A43" s="1339"/>
      <c r="B43" s="108" t="s">
        <v>144</v>
      </c>
      <c r="C43" s="124">
        <f>C44+C45+C46</f>
        <v>8093.5999999999995</v>
      </c>
      <c r="D43" s="108" t="s">
        <v>144</v>
      </c>
      <c r="E43" s="156">
        <f>E44+E45</f>
        <v>3650</v>
      </c>
    </row>
    <row r="44" spans="1:5" ht="28.5" customHeight="1">
      <c r="A44" s="1339"/>
      <c r="B44" s="109" t="s">
        <v>163</v>
      </c>
      <c r="C44" s="30">
        <v>4782.8999999999996</v>
      </c>
      <c r="D44" s="109" t="s">
        <v>163</v>
      </c>
      <c r="E44" s="158">
        <v>1400</v>
      </c>
    </row>
    <row r="45" spans="1:5" ht="28.5" customHeight="1">
      <c r="A45" s="1339"/>
      <c r="B45" s="109" t="s">
        <v>164</v>
      </c>
      <c r="C45" s="30">
        <v>1000</v>
      </c>
      <c r="D45" s="1331" t="s">
        <v>184</v>
      </c>
      <c r="E45" s="1329">
        <v>2250</v>
      </c>
    </row>
    <row r="46" spans="1:5" ht="17.25" customHeight="1">
      <c r="A46" s="1339"/>
      <c r="B46" s="109" t="s">
        <v>165</v>
      </c>
      <c r="C46" s="30">
        <v>2310.6999999999998</v>
      </c>
      <c r="D46" s="1332"/>
      <c r="E46" s="1330"/>
    </row>
    <row r="47" spans="1:5" ht="16.5" customHeight="1">
      <c r="A47" s="1339"/>
      <c r="B47" s="108" t="s">
        <v>150</v>
      </c>
      <c r="C47" s="124">
        <v>2980</v>
      </c>
      <c r="D47" s="108" t="s">
        <v>150</v>
      </c>
      <c r="E47" s="156">
        <v>600</v>
      </c>
    </row>
    <row r="48" spans="1:5" ht="16.5" customHeight="1">
      <c r="A48" s="1336" t="s">
        <v>80</v>
      </c>
      <c r="B48" s="120" t="s">
        <v>167</v>
      </c>
      <c r="C48" s="121">
        <f>C49</f>
        <v>6750.2</v>
      </c>
      <c r="D48" s="127"/>
      <c r="E48" s="150">
        <v>15275.1</v>
      </c>
    </row>
    <row r="49" spans="1:5" ht="16.5" customHeight="1">
      <c r="A49" s="1337"/>
      <c r="B49" s="108" t="s">
        <v>144</v>
      </c>
      <c r="C49" s="110">
        <f>C50</f>
        <v>6750.2</v>
      </c>
      <c r="D49" s="108" t="s">
        <v>144</v>
      </c>
      <c r="E49" s="159">
        <f>E50</f>
        <v>15275.1</v>
      </c>
    </row>
    <row r="50" spans="1:5" ht="60.75" customHeight="1">
      <c r="A50" s="1337"/>
      <c r="B50" s="109" t="s">
        <v>166</v>
      </c>
      <c r="C50" s="30">
        <v>6750.2</v>
      </c>
      <c r="D50" s="109" t="s">
        <v>185</v>
      </c>
      <c r="E50" s="158">
        <v>15275.1</v>
      </c>
    </row>
    <row r="51" spans="1:5" ht="18.75" customHeight="1">
      <c r="A51" s="1338"/>
      <c r="B51" s="108" t="s">
        <v>150</v>
      </c>
      <c r="C51" s="124">
        <v>2980</v>
      </c>
      <c r="D51" s="108" t="s">
        <v>150</v>
      </c>
      <c r="E51" s="156">
        <v>0</v>
      </c>
    </row>
    <row r="52" spans="1:5" ht="20.25" customHeight="1">
      <c r="A52" s="1333" t="s">
        <v>81</v>
      </c>
      <c r="B52" s="120" t="s">
        <v>172</v>
      </c>
      <c r="C52" s="121">
        <v>0</v>
      </c>
      <c r="D52" s="127"/>
      <c r="E52" s="150">
        <v>6000.2</v>
      </c>
    </row>
    <row r="53" spans="1:5" ht="20.25" customHeight="1">
      <c r="A53" s="1334"/>
      <c r="B53" s="108" t="s">
        <v>182</v>
      </c>
      <c r="C53" s="116">
        <v>0</v>
      </c>
      <c r="D53" s="108" t="s">
        <v>144</v>
      </c>
      <c r="E53" s="159">
        <f>E54</f>
        <v>5483.1</v>
      </c>
    </row>
    <row r="54" spans="1:5" ht="20.25" customHeight="1">
      <c r="A54" s="1334"/>
      <c r="B54" s="107"/>
      <c r="C54" s="6"/>
      <c r="D54" s="109" t="s">
        <v>186</v>
      </c>
      <c r="E54" s="158">
        <v>5483.1</v>
      </c>
    </row>
    <row r="55" spans="1:5" ht="20.25" customHeight="1">
      <c r="A55" s="1335"/>
      <c r="B55" s="108" t="s">
        <v>145</v>
      </c>
      <c r="C55" s="116">
        <v>0</v>
      </c>
      <c r="D55" s="108" t="s">
        <v>150</v>
      </c>
      <c r="E55" s="159">
        <v>517.1</v>
      </c>
    </row>
    <row r="56" spans="1:5" ht="21" customHeight="1">
      <c r="A56" s="1339" t="s">
        <v>83</v>
      </c>
      <c r="B56" s="120" t="s">
        <v>168</v>
      </c>
      <c r="C56" s="121">
        <f>C57+C58</f>
        <v>1249.3</v>
      </c>
      <c r="D56" s="127"/>
      <c r="E56" s="150">
        <v>0</v>
      </c>
    </row>
    <row r="57" spans="1:5" ht="21" customHeight="1">
      <c r="A57" s="1339"/>
      <c r="B57" s="108" t="s">
        <v>169</v>
      </c>
      <c r="C57" s="118">
        <v>0</v>
      </c>
      <c r="D57" s="108" t="s">
        <v>169</v>
      </c>
      <c r="E57" s="155">
        <v>0</v>
      </c>
    </row>
    <row r="58" spans="1:5" ht="21" customHeight="1">
      <c r="A58" s="1339"/>
      <c r="B58" s="108" t="s">
        <v>150</v>
      </c>
      <c r="C58" s="110">
        <v>1249.3</v>
      </c>
      <c r="D58" s="108" t="s">
        <v>150</v>
      </c>
      <c r="E58" s="155">
        <v>0</v>
      </c>
    </row>
    <row r="59" spans="1:5" ht="21" customHeight="1">
      <c r="A59" s="1339" t="s">
        <v>84</v>
      </c>
      <c r="B59" s="120" t="s">
        <v>189</v>
      </c>
      <c r="C59" s="121">
        <f>C60+C61</f>
        <v>601.20000000000005</v>
      </c>
      <c r="D59" s="127"/>
      <c r="E59" s="150">
        <v>0</v>
      </c>
    </row>
    <row r="60" spans="1:5" ht="21" customHeight="1">
      <c r="A60" s="1339"/>
      <c r="B60" s="108" t="s">
        <v>169</v>
      </c>
      <c r="C60" s="118">
        <v>0</v>
      </c>
      <c r="D60" s="108" t="s">
        <v>169</v>
      </c>
      <c r="E60" s="155">
        <v>0</v>
      </c>
    </row>
    <row r="61" spans="1:5" ht="21" customHeight="1">
      <c r="A61" s="1339"/>
      <c r="B61" s="108" t="s">
        <v>150</v>
      </c>
      <c r="C61" s="110">
        <v>601.20000000000005</v>
      </c>
      <c r="D61" s="108" t="s">
        <v>150</v>
      </c>
      <c r="E61" s="155">
        <v>0</v>
      </c>
    </row>
    <row r="62" spans="1:5" ht="24" customHeight="1">
      <c r="A62" s="1340" t="s">
        <v>134</v>
      </c>
      <c r="B62" s="1341"/>
      <c r="C62" s="125">
        <v>0</v>
      </c>
      <c r="D62" s="128"/>
      <c r="E62" s="149">
        <f>E63</f>
        <v>5233.7</v>
      </c>
    </row>
    <row r="63" spans="1:5" s="132" customFormat="1" ht="20.25" customHeight="1">
      <c r="A63" s="1339" t="s">
        <v>97</v>
      </c>
      <c r="B63" s="120" t="s">
        <v>188</v>
      </c>
      <c r="C63" s="121">
        <v>0</v>
      </c>
      <c r="D63" s="130"/>
      <c r="E63" s="160">
        <f>E64+E66</f>
        <v>5233.7</v>
      </c>
    </row>
    <row r="64" spans="1:5" ht="18">
      <c r="A64" s="1339"/>
      <c r="B64" s="108" t="s">
        <v>169</v>
      </c>
      <c r="C64" s="116">
        <v>0</v>
      </c>
      <c r="D64" s="108" t="s">
        <v>144</v>
      </c>
      <c r="E64" s="161">
        <f>E65</f>
        <v>5233.7</v>
      </c>
    </row>
    <row r="65" spans="1:5" ht="17.399999999999999">
      <c r="A65" s="1339"/>
      <c r="B65" s="135"/>
      <c r="C65" s="6"/>
      <c r="D65" s="6" t="s">
        <v>187</v>
      </c>
      <c r="E65" s="162">
        <v>5233.7</v>
      </c>
    </row>
    <row r="66" spans="1:5" ht="19.5" customHeight="1">
      <c r="A66" s="1339"/>
      <c r="B66" s="108" t="s">
        <v>150</v>
      </c>
      <c r="C66" s="116">
        <v>0</v>
      </c>
      <c r="D66" s="108" t="s">
        <v>150</v>
      </c>
      <c r="E66" s="155">
        <v>0</v>
      </c>
    </row>
    <row r="67" spans="1:5" ht="20.25" customHeight="1">
      <c r="A67" s="1340" t="s">
        <v>135</v>
      </c>
      <c r="B67" s="1341"/>
      <c r="C67" s="131">
        <f>C68+C77+C72</f>
        <v>2612.02</v>
      </c>
      <c r="D67" s="113"/>
      <c r="E67" s="163">
        <f>E68+E77+E72</f>
        <v>3230.6</v>
      </c>
    </row>
    <row r="68" spans="1:5" ht="18">
      <c r="A68" s="1344" t="s">
        <v>101</v>
      </c>
      <c r="B68" s="120" t="s">
        <v>174</v>
      </c>
      <c r="C68" s="121">
        <f>C69+C71</f>
        <v>0</v>
      </c>
      <c r="D68" s="127"/>
      <c r="E68" s="150">
        <f>E69+E71</f>
        <v>1249.5</v>
      </c>
    </row>
    <row r="69" spans="1:5" ht="14.25" customHeight="1">
      <c r="A69" s="1345"/>
      <c r="B69" s="108" t="s">
        <v>144</v>
      </c>
      <c r="C69" s="118">
        <f>C70</f>
        <v>0</v>
      </c>
      <c r="D69" s="108" t="s">
        <v>144</v>
      </c>
      <c r="E69" s="155">
        <f>E70</f>
        <v>1249.5</v>
      </c>
    </row>
    <row r="70" spans="1:5" ht="17.25" customHeight="1">
      <c r="A70" s="1345"/>
      <c r="B70" s="2"/>
      <c r="C70" s="133"/>
      <c r="D70" s="6" t="s">
        <v>190</v>
      </c>
      <c r="E70" s="164">
        <v>1249.5</v>
      </c>
    </row>
    <row r="71" spans="1:5" ht="15" customHeight="1">
      <c r="A71" s="1346"/>
      <c r="B71" s="108" t="s">
        <v>150</v>
      </c>
      <c r="C71" s="118">
        <v>0</v>
      </c>
      <c r="D71" s="108" t="s">
        <v>150</v>
      </c>
      <c r="E71" s="155">
        <v>0</v>
      </c>
    </row>
    <row r="72" spans="1:5" ht="18">
      <c r="A72" s="1339" t="s">
        <v>102</v>
      </c>
      <c r="B72" s="120" t="s">
        <v>173</v>
      </c>
      <c r="C72" s="121">
        <f>C73+C76</f>
        <v>0</v>
      </c>
      <c r="D72" s="127"/>
      <c r="E72" s="150">
        <f>E73+E76</f>
        <v>1211</v>
      </c>
    </row>
    <row r="73" spans="1:5" ht="15.75" customHeight="1">
      <c r="A73" s="1339"/>
      <c r="B73" s="108" t="s">
        <v>144</v>
      </c>
      <c r="C73" s="118">
        <f>C74</f>
        <v>0</v>
      </c>
      <c r="D73" s="108" t="s">
        <v>144</v>
      </c>
      <c r="E73" s="155">
        <f>E75+E74</f>
        <v>1211</v>
      </c>
    </row>
    <row r="74" spans="1:5" ht="30" customHeight="1">
      <c r="A74" s="1339"/>
      <c r="B74" s="2"/>
      <c r="C74" s="133"/>
      <c r="D74" s="109" t="s">
        <v>191</v>
      </c>
      <c r="E74" s="165">
        <v>911</v>
      </c>
    </row>
    <row r="75" spans="1:5" ht="29.25" customHeight="1">
      <c r="A75" s="1339"/>
      <c r="B75" s="2"/>
      <c r="C75" s="133"/>
      <c r="D75" s="109" t="s">
        <v>192</v>
      </c>
      <c r="E75" s="165">
        <v>300</v>
      </c>
    </row>
    <row r="76" spans="1:5" ht="15" customHeight="1">
      <c r="A76" s="1339"/>
      <c r="B76" s="108" t="s">
        <v>150</v>
      </c>
      <c r="C76" s="118">
        <v>0</v>
      </c>
      <c r="D76" s="108" t="s">
        <v>150</v>
      </c>
      <c r="E76" s="155">
        <v>0</v>
      </c>
    </row>
    <row r="77" spans="1:5" ht="18">
      <c r="A77" s="1339" t="s">
        <v>103</v>
      </c>
      <c r="B77" s="120" t="s">
        <v>170</v>
      </c>
      <c r="C77" s="121">
        <f>C80+C78</f>
        <v>2612.02</v>
      </c>
      <c r="D77" s="127"/>
      <c r="E77" s="150">
        <f>E78+E80</f>
        <v>770.1</v>
      </c>
    </row>
    <row r="78" spans="1:5" ht="15" customHeight="1">
      <c r="A78" s="1339"/>
      <c r="B78" s="108" t="s">
        <v>144</v>
      </c>
      <c r="C78" s="118">
        <f>C79</f>
        <v>1953</v>
      </c>
      <c r="D78" s="108" t="s">
        <v>144</v>
      </c>
      <c r="E78" s="155">
        <f>E79</f>
        <v>200</v>
      </c>
    </row>
    <row r="79" spans="1:5" ht="17.25" customHeight="1">
      <c r="A79" s="1339"/>
      <c r="B79" s="2" t="s">
        <v>193</v>
      </c>
      <c r="C79" s="133">
        <v>1953</v>
      </c>
      <c r="D79" s="112" t="s">
        <v>193</v>
      </c>
      <c r="E79" s="165">
        <v>200</v>
      </c>
    </row>
    <row r="80" spans="1:5" ht="15" customHeight="1">
      <c r="A80" s="1339"/>
      <c r="B80" s="108" t="s">
        <v>150</v>
      </c>
      <c r="C80" s="110">
        <v>659.02</v>
      </c>
      <c r="D80" s="108" t="s">
        <v>150</v>
      </c>
      <c r="E80" s="155">
        <v>570.1</v>
      </c>
    </row>
    <row r="81" spans="1:5" ht="23.25" customHeight="1">
      <c r="A81" s="1340" t="s">
        <v>136</v>
      </c>
      <c r="B81" s="1341"/>
      <c r="C81" s="125">
        <v>0</v>
      </c>
      <c r="D81" s="113"/>
      <c r="E81" s="149">
        <f>E82</f>
        <v>7244.1</v>
      </c>
    </row>
    <row r="82" spans="1:5" ht="17.25" customHeight="1">
      <c r="A82" s="1326" t="s">
        <v>109</v>
      </c>
      <c r="B82" s="120" t="s">
        <v>194</v>
      </c>
      <c r="C82" s="121">
        <f>C86+C83</f>
        <v>0</v>
      </c>
      <c r="D82" s="127"/>
      <c r="E82" s="150">
        <f>E83+E86</f>
        <v>7244.1</v>
      </c>
    </row>
    <row r="83" spans="1:5" ht="15" customHeight="1">
      <c r="A83" s="1347"/>
      <c r="B83" s="108" t="s">
        <v>144</v>
      </c>
      <c r="C83" s="118">
        <f>C84</f>
        <v>0</v>
      </c>
      <c r="D83" s="108" t="s">
        <v>144</v>
      </c>
      <c r="E83" s="155">
        <f>E84+E85</f>
        <v>7244.1</v>
      </c>
    </row>
    <row r="84" spans="1:5" ht="30" customHeight="1">
      <c r="A84" s="1347"/>
      <c r="B84" s="1348"/>
      <c r="C84" s="1323">
        <v>0</v>
      </c>
      <c r="D84" s="109" t="s">
        <v>195</v>
      </c>
      <c r="E84" s="165">
        <v>6000</v>
      </c>
    </row>
    <row r="85" spans="1:5" ht="20.25" customHeight="1">
      <c r="A85" s="1347"/>
      <c r="B85" s="1349"/>
      <c r="C85" s="1324"/>
      <c r="D85" s="109" t="s">
        <v>196</v>
      </c>
      <c r="E85" s="165">
        <v>1244.0999999999999</v>
      </c>
    </row>
    <row r="86" spans="1:5" ht="18" customHeight="1">
      <c r="A86" s="1347"/>
      <c r="B86" s="108" t="s">
        <v>150</v>
      </c>
      <c r="C86" s="118">
        <v>0</v>
      </c>
      <c r="D86" s="108" t="s">
        <v>150</v>
      </c>
      <c r="E86" s="155">
        <v>0</v>
      </c>
    </row>
    <row r="87" spans="1:5" ht="24" customHeight="1">
      <c r="A87" s="1340" t="s">
        <v>137</v>
      </c>
      <c r="B87" s="1341"/>
      <c r="C87" s="125">
        <f>C88</f>
        <v>0</v>
      </c>
      <c r="D87" s="113"/>
      <c r="E87" s="149">
        <f>E88</f>
        <v>10983</v>
      </c>
    </row>
    <row r="88" spans="1:5" ht="18">
      <c r="A88" s="1325" t="s">
        <v>112</v>
      </c>
      <c r="B88" s="120" t="s">
        <v>170</v>
      </c>
      <c r="C88" s="121">
        <f>C91+C89</f>
        <v>0</v>
      </c>
      <c r="D88" s="127"/>
      <c r="E88" s="150">
        <f>E89+E91</f>
        <v>10983</v>
      </c>
    </row>
    <row r="89" spans="1:5" ht="15" customHeight="1">
      <c r="A89" s="1325"/>
      <c r="B89" s="108" t="s">
        <v>144</v>
      </c>
      <c r="C89" s="118">
        <f>C90</f>
        <v>0</v>
      </c>
      <c r="D89" s="108" t="s">
        <v>144</v>
      </c>
      <c r="E89" s="155">
        <f>E90</f>
        <v>10983</v>
      </c>
    </row>
    <row r="90" spans="1:5" ht="62.25" customHeight="1">
      <c r="A90" s="1325"/>
      <c r="B90" s="2"/>
      <c r="C90" s="133">
        <v>0</v>
      </c>
      <c r="D90" s="180" t="s">
        <v>197</v>
      </c>
      <c r="E90" s="165">
        <v>10983</v>
      </c>
    </row>
    <row r="91" spans="1:5" ht="15" customHeight="1" thickBot="1">
      <c r="A91" s="1326"/>
      <c r="B91" s="137" t="s">
        <v>150</v>
      </c>
      <c r="C91" s="138">
        <v>0</v>
      </c>
      <c r="D91" s="137" t="s">
        <v>150</v>
      </c>
      <c r="E91" s="166">
        <v>0</v>
      </c>
    </row>
    <row r="92" spans="1:5" ht="24" thickBot="1">
      <c r="A92" s="1342" t="s">
        <v>116</v>
      </c>
      <c r="B92" s="1343"/>
      <c r="C92" s="139">
        <f>C87+C81+C67+C41+C7</f>
        <v>238974.74400000004</v>
      </c>
      <c r="D92" s="140"/>
      <c r="E92" s="141">
        <f>E6+E7+E41+E62+E67+E81+E87</f>
        <v>296862.69999999995</v>
      </c>
    </row>
  </sheetData>
  <mergeCells count="38">
    <mergeCell ref="D23:D25"/>
    <mergeCell ref="E23:E25"/>
    <mergeCell ref="D30:D31"/>
    <mergeCell ref="A4:A5"/>
    <mergeCell ref="B4:C4"/>
    <mergeCell ref="D4:E4"/>
    <mergeCell ref="A7:B7"/>
    <mergeCell ref="A8:A16"/>
    <mergeCell ref="A17:A20"/>
    <mergeCell ref="A21:A26"/>
    <mergeCell ref="A6:B6"/>
    <mergeCell ref="A56:A58"/>
    <mergeCell ref="A59:A61"/>
    <mergeCell ref="A27:A32"/>
    <mergeCell ref="A33:A36"/>
    <mergeCell ref="A37:A40"/>
    <mergeCell ref="A41:B41"/>
    <mergeCell ref="A42:A47"/>
    <mergeCell ref="A62:B62"/>
    <mergeCell ref="A67:B67"/>
    <mergeCell ref="A81:B81"/>
    <mergeCell ref="A87:B87"/>
    <mergeCell ref="A92:B92"/>
    <mergeCell ref="A72:A76"/>
    <mergeCell ref="A68:A71"/>
    <mergeCell ref="A82:A86"/>
    <mergeCell ref="B84:B85"/>
    <mergeCell ref="A77:A80"/>
    <mergeCell ref="C84:C85"/>
    <mergeCell ref="A88:A91"/>
    <mergeCell ref="A1:E1"/>
    <mergeCell ref="A2:E2"/>
    <mergeCell ref="E30:E31"/>
    <mergeCell ref="D45:D46"/>
    <mergeCell ref="E45:E46"/>
    <mergeCell ref="A52:A55"/>
    <mergeCell ref="A48:A51"/>
    <mergeCell ref="A63:A66"/>
  </mergeCells>
  <pageMargins left="0.24" right="0.16" top="0.23" bottom="0.25" header="0.2" footer="0.25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3"/>
  <sheetViews>
    <sheetView workbookViewId="0">
      <pane ySplit="1" topLeftCell="A2" activePane="bottomLeft" state="frozen"/>
      <selection pane="bottomLeft" activeCell="F22" sqref="F22"/>
    </sheetView>
  </sheetViews>
  <sheetFormatPr defaultColWidth="9.109375" defaultRowHeight="15"/>
  <cols>
    <col min="1" max="1" width="31.33203125" style="15" customWidth="1"/>
    <col min="2" max="2" width="5.5546875" style="15" customWidth="1"/>
    <col min="3" max="3" width="6.44140625" style="15" customWidth="1"/>
    <col min="4" max="4" width="7.44140625" style="15" customWidth="1"/>
    <col min="5" max="5" width="8.44140625" style="15" customWidth="1"/>
    <col min="6" max="6" width="8.5546875" style="15" customWidth="1"/>
    <col min="7" max="7" width="8.88671875" style="15" customWidth="1"/>
    <col min="8" max="8" width="9.44140625" style="15" customWidth="1"/>
    <col min="9" max="9" width="8.6640625" style="15" customWidth="1"/>
    <col min="10" max="10" width="9.109375" style="15" customWidth="1"/>
    <col min="11" max="11" width="7.5546875" style="15" customWidth="1"/>
    <col min="12" max="12" width="7.6640625" style="15" customWidth="1"/>
    <col min="13" max="13" width="7.33203125" style="15" customWidth="1"/>
    <col min="14" max="14" width="12.6640625" style="15" customWidth="1"/>
    <col min="15" max="15" width="13.33203125" style="15" customWidth="1"/>
    <col min="16" max="16" width="12.109375" style="15" customWidth="1"/>
    <col min="17" max="17" width="14" style="24" customWidth="1"/>
    <col min="18" max="18" width="9.109375" style="15"/>
    <col min="19" max="19" width="12" style="15" customWidth="1"/>
    <col min="20" max="16384" width="9.109375" style="15"/>
  </cols>
  <sheetData>
    <row r="3" spans="1:19" ht="21" customHeight="1">
      <c r="A3" s="1235" t="s">
        <v>67</v>
      </c>
      <c r="B3" s="1235" t="s">
        <v>62</v>
      </c>
      <c r="C3" s="1235"/>
      <c r="D3" s="1235"/>
      <c r="E3" s="1235" t="s">
        <v>64</v>
      </c>
      <c r="F3" s="1235"/>
      <c r="G3" s="1235"/>
      <c r="H3" s="1235"/>
      <c r="I3" s="1235"/>
      <c r="J3" s="1235"/>
      <c r="K3" s="1235"/>
      <c r="L3" s="1235"/>
      <c r="M3" s="1235"/>
      <c r="N3" s="1235"/>
      <c r="O3" s="1235" t="s">
        <v>114</v>
      </c>
      <c r="P3" s="1235"/>
      <c r="Q3" s="1235" t="s">
        <v>120</v>
      </c>
    </row>
    <row r="4" spans="1:19" ht="81.75" customHeight="1">
      <c r="A4" s="1235"/>
      <c r="B4" s="1235"/>
      <c r="C4" s="1235"/>
      <c r="D4" s="1235"/>
      <c r="E4" s="1235" t="s">
        <v>63</v>
      </c>
      <c r="F4" s="1235"/>
      <c r="G4" s="1235"/>
      <c r="H4" s="1235" t="s">
        <v>65</v>
      </c>
      <c r="I4" s="1235"/>
      <c r="J4" s="1235"/>
      <c r="K4" s="1235" t="s">
        <v>66</v>
      </c>
      <c r="L4" s="1235"/>
      <c r="M4" s="1235"/>
      <c r="N4" s="88" t="s">
        <v>39</v>
      </c>
      <c r="O4" s="1235"/>
      <c r="P4" s="1235"/>
      <c r="Q4" s="1235"/>
    </row>
    <row r="5" spans="1:19" ht="11.25" customHeight="1">
      <c r="A5" s="1235"/>
      <c r="B5" s="1235"/>
      <c r="C5" s="1235"/>
      <c r="D5" s="1235"/>
      <c r="E5" s="1235" t="s">
        <v>69</v>
      </c>
      <c r="F5" s="1235" t="s">
        <v>70</v>
      </c>
      <c r="G5" s="1235" t="s">
        <v>117</v>
      </c>
      <c r="H5" s="1235" t="s">
        <v>69</v>
      </c>
      <c r="I5" s="1235" t="s">
        <v>70</v>
      </c>
      <c r="J5" s="1235" t="s">
        <v>117</v>
      </c>
      <c r="K5" s="1235" t="s">
        <v>69</v>
      </c>
      <c r="L5" s="1235" t="s">
        <v>70</v>
      </c>
      <c r="M5" s="1235" t="s">
        <v>117</v>
      </c>
      <c r="N5" s="1361" t="s">
        <v>118</v>
      </c>
      <c r="O5" s="1235" t="s">
        <v>117</v>
      </c>
      <c r="P5" s="1235" t="s">
        <v>119</v>
      </c>
      <c r="Q5" s="1235"/>
    </row>
    <row r="6" spans="1:19" ht="21" customHeight="1">
      <c r="A6" s="1235"/>
      <c r="B6" s="84" t="s">
        <v>59</v>
      </c>
      <c r="C6" s="84" t="s">
        <v>60</v>
      </c>
      <c r="D6" s="84" t="s">
        <v>61</v>
      </c>
      <c r="E6" s="1235"/>
      <c r="F6" s="1235"/>
      <c r="G6" s="1235"/>
      <c r="H6" s="1235"/>
      <c r="I6" s="1235"/>
      <c r="J6" s="1235"/>
      <c r="K6" s="1235"/>
      <c r="L6" s="1235"/>
      <c r="M6" s="1235"/>
      <c r="N6" s="1361"/>
      <c r="O6" s="1235"/>
      <c r="P6" s="1235"/>
      <c r="Q6" s="1235"/>
    </row>
    <row r="7" spans="1:19" ht="17.25" customHeight="1">
      <c r="A7" s="183" t="s">
        <v>57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6">
        <f>N8+N10+N12+N14+N16+N18+N20</f>
        <v>284002.48369999998</v>
      </c>
      <c r="O7" s="86">
        <f>O8+O10+O12+O14+O16+O18+O20</f>
        <v>216688.40000000002</v>
      </c>
      <c r="P7" s="86">
        <f>P8+P10+P12+P14+P16+P18+P20</f>
        <v>150509.59999999998</v>
      </c>
      <c r="Q7" s="87">
        <f>Q8+Q10+Q12+Q14+Q16+Q18+Q20</f>
        <v>-83195.516300000003</v>
      </c>
      <c r="S7" s="27"/>
    </row>
    <row r="8" spans="1:19" s="181" customFormat="1" ht="23.25" customHeight="1">
      <c r="A8" s="184" t="s">
        <v>56</v>
      </c>
      <c r="B8" s="18"/>
      <c r="C8" s="18"/>
      <c r="D8" s="18"/>
      <c r="E8" s="17"/>
      <c r="F8" s="17"/>
      <c r="G8" s="17"/>
      <c r="H8" s="17"/>
      <c r="I8" s="17"/>
      <c r="J8" s="17"/>
      <c r="K8" s="17"/>
      <c r="L8" s="17"/>
      <c r="M8" s="17"/>
      <c r="N8" s="17">
        <f>N9</f>
        <v>113281.30526000001</v>
      </c>
      <c r="O8" s="23">
        <v>114590.2</v>
      </c>
      <c r="P8" s="23">
        <v>94677</v>
      </c>
      <c r="Q8" s="25">
        <f>N8-O8-P8</f>
        <v>-95985.894739999989</v>
      </c>
      <c r="S8" s="182"/>
    </row>
    <row r="9" spans="1:19" s="181" customFormat="1" ht="23.25" customHeight="1">
      <c r="A9" s="185" t="s">
        <v>58</v>
      </c>
      <c r="B9" s="20">
        <v>100</v>
      </c>
      <c r="C9" s="20">
        <v>40</v>
      </c>
      <c r="D9" s="20">
        <v>100</v>
      </c>
      <c r="E9" s="21">
        <v>2318.6999999999998</v>
      </c>
      <c r="F9" s="21">
        <v>1217.0999999999999</v>
      </c>
      <c r="G9" s="21">
        <f>'Sheet 1'!H40</f>
        <v>1979.2322999999999</v>
      </c>
      <c r="H9" s="21">
        <v>81259.7</v>
      </c>
      <c r="I9" s="21">
        <v>104141.8</v>
      </c>
      <c r="J9" s="21">
        <f>'Sheet 1'!K17</f>
        <v>84014.182400000005</v>
      </c>
      <c r="K9" s="21">
        <v>0</v>
      </c>
      <c r="L9" s="21">
        <v>0</v>
      </c>
      <c r="M9" s="21">
        <v>0</v>
      </c>
      <c r="N9" s="19">
        <f>SUM(E9:G9)*B9/100+SUM(H9:J9)*C9/100+SUM(K9:M9)*D9/100</f>
        <v>113281.30526000001</v>
      </c>
      <c r="O9" s="23"/>
      <c r="P9" s="23"/>
      <c r="Q9" s="26"/>
      <c r="S9" s="182"/>
    </row>
    <row r="10" spans="1:19" s="181" customFormat="1" ht="23.25" customHeight="1">
      <c r="A10" s="184" t="s">
        <v>71</v>
      </c>
      <c r="B10" s="18"/>
      <c r="C10" s="18"/>
      <c r="D10" s="18"/>
      <c r="E10" s="17"/>
      <c r="F10" s="18"/>
      <c r="G10" s="18"/>
      <c r="H10" s="18"/>
      <c r="I10" s="18"/>
      <c r="J10" s="18"/>
      <c r="K10" s="18"/>
      <c r="L10" s="18"/>
      <c r="M10" s="17"/>
      <c r="N10" s="17">
        <f>N11</f>
        <v>9071.7690000000002</v>
      </c>
      <c r="O10" s="23">
        <v>4342.1000000000004</v>
      </c>
      <c r="P10" s="23">
        <v>0</v>
      </c>
      <c r="Q10" s="25">
        <f>N10-O10-P10</f>
        <v>4729.6689999999999</v>
      </c>
      <c r="S10" s="182"/>
    </row>
    <row r="11" spans="1:19" s="181" customFormat="1" ht="41.25" customHeight="1">
      <c r="A11" s="185" t="s">
        <v>72</v>
      </c>
      <c r="B11" s="20">
        <v>100</v>
      </c>
      <c r="C11" s="20">
        <v>100</v>
      </c>
      <c r="D11" s="20">
        <v>40</v>
      </c>
      <c r="E11" s="19">
        <v>3744.5</v>
      </c>
      <c r="F11" s="19">
        <v>1497.8</v>
      </c>
      <c r="G11" s="19">
        <f>'Sheet 1'!H39</f>
        <v>3744.2750000000001</v>
      </c>
      <c r="H11" s="19">
        <v>35.799999999999997</v>
      </c>
      <c r="I11" s="19">
        <v>14</v>
      </c>
      <c r="J11" s="19">
        <f>'Sheet 1'!K16</f>
        <v>35.393999999999998</v>
      </c>
      <c r="K11" s="19">
        <v>0</v>
      </c>
      <c r="L11" s="19">
        <v>0</v>
      </c>
      <c r="M11" s="19">
        <v>0</v>
      </c>
      <c r="N11" s="19">
        <f>SUM(E11:G11)*B11/100+SUM(H11:J11)*C11/100+SUM(K11:M11)*D11/100</f>
        <v>9071.7690000000002</v>
      </c>
      <c r="O11" s="23"/>
      <c r="P11" s="23"/>
      <c r="Q11" s="26"/>
      <c r="S11" s="182"/>
    </row>
    <row r="12" spans="1:19" s="181" customFormat="1" ht="23.25" customHeight="1">
      <c r="A12" s="186" t="s">
        <v>113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6">
        <f>N13</f>
        <v>40412.352359999997</v>
      </c>
      <c r="O12" s="23">
        <v>29989.5</v>
      </c>
      <c r="P12" s="23">
        <v>20862.2</v>
      </c>
      <c r="Q12" s="25">
        <f>N12-O12-P12</f>
        <v>-10439.347640000004</v>
      </c>
      <c r="S12" s="182"/>
    </row>
    <row r="13" spans="1:19" s="181" customFormat="1" ht="29.25" customHeight="1">
      <c r="A13" s="185" t="s">
        <v>58</v>
      </c>
      <c r="B13" s="20">
        <v>0</v>
      </c>
      <c r="C13" s="20">
        <v>15</v>
      </c>
      <c r="D13" s="20">
        <v>0</v>
      </c>
      <c r="E13" s="21">
        <f>E9</f>
        <v>2318.6999999999998</v>
      </c>
      <c r="F13" s="21">
        <f t="shared" ref="F13:M13" si="0">F9</f>
        <v>1217.0999999999999</v>
      </c>
      <c r="G13" s="21">
        <f t="shared" si="0"/>
        <v>1979.2322999999999</v>
      </c>
      <c r="H13" s="21">
        <f t="shared" si="0"/>
        <v>81259.7</v>
      </c>
      <c r="I13" s="21">
        <f t="shared" si="0"/>
        <v>104141.8</v>
      </c>
      <c r="J13" s="21">
        <f t="shared" si="0"/>
        <v>84014.182400000005</v>
      </c>
      <c r="K13" s="21">
        <f t="shared" si="0"/>
        <v>0</v>
      </c>
      <c r="L13" s="21">
        <f t="shared" si="0"/>
        <v>0</v>
      </c>
      <c r="M13" s="21">
        <f t="shared" si="0"/>
        <v>0</v>
      </c>
      <c r="N13" s="19">
        <f>SUM(E13:G13)*B13/100+SUM(H13:J13)*C13/100+SUM(K13:M13)*D13/100</f>
        <v>40412.352359999997</v>
      </c>
      <c r="O13" s="23"/>
      <c r="P13" s="23"/>
      <c r="Q13" s="26"/>
      <c r="S13" s="182"/>
    </row>
    <row r="14" spans="1:19" s="181" customFormat="1" ht="23.25" customHeight="1">
      <c r="A14" s="186" t="s">
        <v>73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6">
        <f>N15</f>
        <v>26941.568240000001</v>
      </c>
      <c r="O14" s="23">
        <v>25838.2</v>
      </c>
      <c r="P14" s="23">
        <v>27470.6</v>
      </c>
      <c r="Q14" s="25">
        <f>N14-O14-P14</f>
        <v>-26367.231759999999</v>
      </c>
      <c r="S14" s="182"/>
    </row>
    <row r="15" spans="1:19" s="181" customFormat="1" ht="31.5" customHeight="1">
      <c r="A15" s="185" t="s">
        <v>58</v>
      </c>
      <c r="B15" s="20">
        <v>0</v>
      </c>
      <c r="C15" s="20">
        <v>10</v>
      </c>
      <c r="D15" s="20">
        <v>0</v>
      </c>
      <c r="E15" s="21">
        <f>E13</f>
        <v>2318.6999999999998</v>
      </c>
      <c r="F15" s="21">
        <f t="shared" ref="F15:M15" si="1">F13</f>
        <v>1217.0999999999999</v>
      </c>
      <c r="G15" s="21">
        <f t="shared" si="1"/>
        <v>1979.2322999999999</v>
      </c>
      <c r="H15" s="21">
        <f t="shared" si="1"/>
        <v>81259.7</v>
      </c>
      <c r="I15" s="21">
        <f t="shared" si="1"/>
        <v>104141.8</v>
      </c>
      <c r="J15" s="21">
        <f t="shared" si="1"/>
        <v>84014.182400000005</v>
      </c>
      <c r="K15" s="21">
        <f t="shared" si="1"/>
        <v>0</v>
      </c>
      <c r="L15" s="21">
        <f t="shared" si="1"/>
        <v>0</v>
      </c>
      <c r="M15" s="21">
        <f t="shared" si="1"/>
        <v>0</v>
      </c>
      <c r="N15" s="19">
        <f>SUM(E15:G15)*B15/100+SUM(H15:J15)*C15/100+SUM(K15:M15)*D15/100</f>
        <v>26941.568240000001</v>
      </c>
      <c r="O15" s="23"/>
      <c r="P15" s="23"/>
      <c r="Q15" s="26"/>
      <c r="S15" s="182"/>
    </row>
    <row r="16" spans="1:19" s="181" customFormat="1" ht="23.25" customHeight="1">
      <c r="A16" s="186" t="s">
        <v>74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6">
        <f>N17</f>
        <v>67353.920599999998</v>
      </c>
      <c r="O16" s="23">
        <v>11935.7</v>
      </c>
      <c r="P16" s="23">
        <v>7499.8</v>
      </c>
      <c r="Q16" s="25">
        <f>N16-O16-P16</f>
        <v>47918.420599999998</v>
      </c>
      <c r="S16" s="182"/>
    </row>
    <row r="17" spans="1:19" s="181" customFormat="1" ht="30.75" customHeight="1">
      <c r="A17" s="185" t="s">
        <v>58</v>
      </c>
      <c r="B17" s="20">
        <v>0</v>
      </c>
      <c r="C17" s="20">
        <v>25</v>
      </c>
      <c r="D17" s="20">
        <v>0</v>
      </c>
      <c r="E17" s="19">
        <f>E15</f>
        <v>2318.6999999999998</v>
      </c>
      <c r="F17" s="19">
        <f t="shared" ref="F17:M17" si="2">F15</f>
        <v>1217.0999999999999</v>
      </c>
      <c r="G17" s="19">
        <f t="shared" si="2"/>
        <v>1979.2322999999999</v>
      </c>
      <c r="H17" s="19">
        <f t="shared" si="2"/>
        <v>81259.7</v>
      </c>
      <c r="I17" s="19">
        <f t="shared" si="2"/>
        <v>104141.8</v>
      </c>
      <c r="J17" s="19">
        <f t="shared" si="2"/>
        <v>84014.182400000005</v>
      </c>
      <c r="K17" s="19">
        <f t="shared" si="2"/>
        <v>0</v>
      </c>
      <c r="L17" s="19">
        <f t="shared" si="2"/>
        <v>0</v>
      </c>
      <c r="M17" s="19">
        <f t="shared" si="2"/>
        <v>0</v>
      </c>
      <c r="N17" s="19">
        <f>SUM(E17:G17)*B17/100+SUM(H17:J17)*C17/100+SUM(K17:M17)*D17/100</f>
        <v>67353.920599999998</v>
      </c>
      <c r="O17" s="23"/>
      <c r="P17" s="23"/>
      <c r="Q17" s="26"/>
      <c r="S17" s="182"/>
    </row>
    <row r="18" spans="1:19" s="181" customFormat="1" ht="23.25" customHeight="1">
      <c r="A18" s="186" t="s">
        <v>75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6">
        <f>N19</f>
        <v>26941.568240000001</v>
      </c>
      <c r="O18" s="23">
        <v>29992.7</v>
      </c>
      <c r="P18" s="23">
        <v>0</v>
      </c>
      <c r="Q18" s="25">
        <f>N18-O18-P18</f>
        <v>-3051.1317600000002</v>
      </c>
      <c r="S18" s="182"/>
    </row>
    <row r="19" spans="1:19" s="181" customFormat="1" ht="33" customHeight="1">
      <c r="A19" s="185" t="s">
        <v>58</v>
      </c>
      <c r="B19" s="20">
        <v>0</v>
      </c>
      <c r="C19" s="20">
        <v>10</v>
      </c>
      <c r="D19" s="20">
        <v>0</v>
      </c>
      <c r="E19" s="19">
        <f>E17</f>
        <v>2318.6999999999998</v>
      </c>
      <c r="F19" s="19">
        <f t="shared" ref="F19:M19" si="3">F17</f>
        <v>1217.0999999999999</v>
      </c>
      <c r="G19" s="19">
        <f t="shared" si="3"/>
        <v>1979.2322999999999</v>
      </c>
      <c r="H19" s="19">
        <f t="shared" si="3"/>
        <v>81259.7</v>
      </c>
      <c r="I19" s="19">
        <f t="shared" si="3"/>
        <v>104141.8</v>
      </c>
      <c r="J19" s="19">
        <f t="shared" si="3"/>
        <v>84014.182400000005</v>
      </c>
      <c r="K19" s="19">
        <f t="shared" si="3"/>
        <v>0</v>
      </c>
      <c r="L19" s="19">
        <f t="shared" si="3"/>
        <v>0</v>
      </c>
      <c r="M19" s="19">
        <f t="shared" si="3"/>
        <v>0</v>
      </c>
      <c r="N19" s="19">
        <f>SUM(E19:G19)*B19/100+SUM(H19:J19)*C19/100+SUM(K19:M19)*D19/100</f>
        <v>26941.568240000001</v>
      </c>
      <c r="O19" s="23"/>
      <c r="P19" s="23"/>
      <c r="Q19" s="26"/>
      <c r="S19" s="182"/>
    </row>
    <row r="20" spans="1:19" s="181" customFormat="1" ht="23.25" customHeight="1">
      <c r="A20" s="186" t="s">
        <v>76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6">
        <f>N21</f>
        <v>0</v>
      </c>
      <c r="O20" s="23">
        <v>0</v>
      </c>
      <c r="P20" s="23">
        <v>0</v>
      </c>
      <c r="Q20" s="25">
        <f>N20-O20-P20</f>
        <v>0</v>
      </c>
      <c r="S20" s="182"/>
    </row>
    <row r="21" spans="1:19" s="181" customFormat="1" ht="42" customHeight="1">
      <c r="A21" s="185" t="s">
        <v>72</v>
      </c>
      <c r="B21" s="20">
        <v>0</v>
      </c>
      <c r="C21" s="20">
        <v>0</v>
      </c>
      <c r="D21" s="20">
        <v>30</v>
      </c>
      <c r="E21" s="19">
        <f t="shared" ref="E21:J21" si="4">E11</f>
        <v>3744.5</v>
      </c>
      <c r="F21" s="19">
        <f t="shared" si="4"/>
        <v>1497.8</v>
      </c>
      <c r="G21" s="19">
        <f t="shared" si="4"/>
        <v>3744.2750000000001</v>
      </c>
      <c r="H21" s="19">
        <f t="shared" si="4"/>
        <v>35.799999999999997</v>
      </c>
      <c r="I21" s="19">
        <f t="shared" si="4"/>
        <v>14</v>
      </c>
      <c r="J21" s="19">
        <f t="shared" si="4"/>
        <v>35.393999999999998</v>
      </c>
      <c r="K21" s="19">
        <v>0</v>
      </c>
      <c r="L21" s="19">
        <v>0</v>
      </c>
      <c r="M21" s="19">
        <v>0</v>
      </c>
      <c r="N21" s="19">
        <f>SUM(E21:G21)*B21/100+SUM(H21:J21)*C21/100+SUM(K21:M21)*D21/100</f>
        <v>0</v>
      </c>
      <c r="O21" s="23"/>
      <c r="P21" s="23"/>
      <c r="Q21" s="26"/>
      <c r="S21" s="182"/>
    </row>
    <row r="22" spans="1:19" s="181" customFormat="1" ht="23.25" customHeight="1">
      <c r="A22" s="186" t="s">
        <v>77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6">
        <f>N23</f>
        <v>0</v>
      </c>
      <c r="O22" s="23">
        <v>0</v>
      </c>
      <c r="P22" s="23">
        <v>0</v>
      </c>
      <c r="Q22" s="25">
        <f>N22-O22-P22</f>
        <v>0</v>
      </c>
      <c r="S22" s="182"/>
    </row>
    <row r="23" spans="1:19" s="181" customFormat="1" ht="35.25" customHeight="1">
      <c r="A23" s="185" t="s">
        <v>72</v>
      </c>
      <c r="B23" s="20">
        <v>0</v>
      </c>
      <c r="C23" s="20">
        <v>0</v>
      </c>
      <c r="D23" s="20">
        <v>30</v>
      </c>
      <c r="E23" s="19">
        <f>E21</f>
        <v>3744.5</v>
      </c>
      <c r="F23" s="19">
        <f t="shared" ref="F23:M23" si="5">F21</f>
        <v>1497.8</v>
      </c>
      <c r="G23" s="19">
        <f t="shared" si="5"/>
        <v>3744.2750000000001</v>
      </c>
      <c r="H23" s="19">
        <f t="shared" si="5"/>
        <v>35.799999999999997</v>
      </c>
      <c r="I23" s="19">
        <f t="shared" si="5"/>
        <v>14</v>
      </c>
      <c r="J23" s="19">
        <f t="shared" si="5"/>
        <v>35.393999999999998</v>
      </c>
      <c r="K23" s="19">
        <f t="shared" si="5"/>
        <v>0</v>
      </c>
      <c r="L23" s="19">
        <f t="shared" si="5"/>
        <v>0</v>
      </c>
      <c r="M23" s="19">
        <f t="shared" si="5"/>
        <v>0</v>
      </c>
      <c r="N23" s="19">
        <f>SUM(E23:G23)*B23/100+SUM(H23:J23)*C23/100+SUM(K23:M23)*D23/100</f>
        <v>0</v>
      </c>
      <c r="O23" s="23"/>
      <c r="P23" s="23"/>
      <c r="Q23" s="26"/>
      <c r="S23" s="182"/>
    </row>
  </sheetData>
  <mergeCells count="20"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L5:L6"/>
    <mergeCell ref="A3:A6"/>
    <mergeCell ref="B3:D5"/>
    <mergeCell ref="E3:N3"/>
    <mergeCell ref="O3:P4"/>
    <mergeCell ref="Q3:Q6"/>
    <mergeCell ref="E4:G4"/>
    <mergeCell ref="H4:J4"/>
    <mergeCell ref="K4:M4"/>
    <mergeCell ref="E5:E6"/>
    <mergeCell ref="F5:F6"/>
  </mergeCells>
  <pageMargins left="0.24" right="0.16" top="0.75" bottom="0.28000000000000003" header="0.3" footer="0.2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Sheet 1</vt:lpstr>
      <vt:lpstr>2016</vt:lpstr>
      <vt:lpstr>2017</vt:lpstr>
      <vt:lpstr>2018</vt:lpstr>
      <vt:lpstr>2019</vt:lpstr>
      <vt:lpstr>Sheet1 (2)</vt:lpstr>
      <vt:lpstr>Sheet1 (3)</vt:lpstr>
      <vt:lpstr>Sheet2</vt:lpstr>
      <vt:lpstr>Lori</vt:lpstr>
      <vt:lpstr>Sheet3</vt:lpstr>
      <vt:lpstr>Sheet3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Lusine Avetisyan</dc:creator>
  <cp:lastModifiedBy>Lusine Tovmasyan</cp:lastModifiedBy>
  <cp:lastPrinted>2015-09-22T09:19:51Z</cp:lastPrinted>
  <dcterms:created xsi:type="dcterms:W3CDTF">2013-02-05T05:52:57Z</dcterms:created>
  <dcterms:modified xsi:type="dcterms:W3CDTF">2020-05-07T20:49:24Z</dcterms:modified>
</cp:coreProperties>
</file>